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s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'Debts'!$A$1:$F$37</definedName>
    <definedName name="_xlnm.Print_Titles" localSheetId="1">'Schedule'!$5:$5</definedName>
    <definedName name="_xlnm.Print_Area" localSheetId="1">'Schedule'!$A$1:$V$66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m yyyy"/>
    <numFmt numFmtId="166" formatCode="mmm yyyy"/>
  </numFmts>
  <fonts count="14">
    <font>
      <name val="Calibri"/>
      <family val="2"/>
      <color theme="1"/>
      <sz val="11"/>
      <scheme val="minor"/>
    </font>
    <font>
      <name val="Calibri"/>
      <b val="1"/>
      <color rgb="003E3A35"/>
      <sz val="20"/>
    </font>
    <font>
      <name val="Calibri"/>
      <i val="1"/>
      <color rgb="004A4540"/>
      <sz val="10.5"/>
    </font>
    <font>
      <name val="Calibri"/>
      <b val="1"/>
      <color rgb="00FFFFFF"/>
      <sz val="10"/>
    </font>
    <font>
      <name val="Calibri"/>
      <b val="1"/>
      <color rgb="008A6A2A"/>
      <sz val="10"/>
    </font>
    <font>
      <name val="Calibri"/>
      <color rgb="001F4E9E"/>
      <sz val="10.5"/>
    </font>
    <font>
      <name val="Calibri"/>
      <color rgb="003E3A35"/>
      <sz val="10.5"/>
    </font>
    <font>
      <name val="Calibri"/>
      <b val="1"/>
      <color rgb="003E3A35"/>
      <sz val="10.5"/>
    </font>
    <font>
      <name val="Calibri"/>
      <b val="1"/>
      <color rgb="003E3A35"/>
      <sz val="9.5"/>
    </font>
    <font>
      <name val="Calibri"/>
      <i val="1"/>
      <color rgb="006B6259"/>
      <sz val="9.5"/>
    </font>
    <font>
      <name val="Calibri"/>
      <b val="1"/>
      <color rgb="008A6A2A"/>
      <sz val="13"/>
    </font>
    <font>
      <name val="Calibri"/>
      <color rgb="004A4540"/>
      <sz val="11"/>
    </font>
    <font>
      <name val="Calibri"/>
      <i val="1"/>
      <color rgb="006B6259"/>
      <sz val="10"/>
    </font>
    <font>
      <name val="Calibri"/>
      <b val="1"/>
      <color rgb="003E3A35"/>
      <sz val="18"/>
    </font>
  </fonts>
  <fills count="6">
    <fill>
      <patternFill/>
    </fill>
    <fill>
      <patternFill patternType="gray125"/>
    </fill>
    <fill>
      <patternFill patternType="solid">
        <fgColor rgb="00EFE8DE"/>
        <bgColor rgb="00EFE8DE"/>
      </patternFill>
    </fill>
    <fill>
      <patternFill patternType="solid">
        <fgColor rgb="008A6A2A"/>
        <bgColor rgb="008A6A2A"/>
      </patternFill>
    </fill>
    <fill>
      <patternFill patternType="solid">
        <fgColor rgb="00FFF8E6"/>
        <bgColor rgb="00FFF8E6"/>
      </patternFill>
    </fill>
    <fill>
      <patternFill patternType="solid">
        <fgColor rgb="00F4F1EA"/>
        <bgColor rgb="00F4F1EA"/>
      </patternFill>
    </fill>
  </fills>
  <borders count="8">
    <border>
      <left/>
      <right/>
      <top/>
      <bottom/>
      <diagonal/>
    </border>
    <border>
      <bottom style="medium">
        <color rgb="008A6A2A"/>
      </bottom>
    </border>
    <border>
      <left style="thin">
        <color rgb="00DDD7CB"/>
      </left>
      <right style="thin">
        <color rgb="00DDD7CB"/>
      </right>
      <top style="thin">
        <color rgb="00DDD7CB"/>
      </top>
      <bottom style="thin">
        <color rgb="00DDD7CB"/>
      </bottom>
    </border>
    <border>
      <left/>
      <right/>
      <top style="thin">
        <color rgb="00DDD7CB"/>
      </top>
      <bottom/>
      <diagonal/>
    </border>
    <border>
      <left/>
      <right style="thin">
        <color rgb="00DDD7CB"/>
      </right>
      <top style="thin">
        <color rgb="00DDD7CB"/>
      </top>
      <bottom/>
      <diagonal/>
    </border>
    <border>
      <left/>
      <right/>
      <top style="thin">
        <color rgb="00DDD7CB"/>
      </top>
      <bottom style="thin">
        <color rgb="00DDD7CB"/>
      </bottom>
      <diagonal/>
    </border>
    <border>
      <left/>
      <right style="thin">
        <color rgb="00DDD7CB"/>
      </right>
      <top style="thin">
        <color rgb="00DDD7CB"/>
      </top>
      <bottom style="thin">
        <color rgb="00DDD7CB"/>
      </bottom>
      <diagonal/>
    </border>
    <border>
      <bottom style="thin">
        <color rgb="008A6A2A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0" fillId="3" borderId="0" pivotButton="0" quotePrefix="0" xfId="0"/>
    <xf numFmtId="0" fontId="3" fillId="3" borderId="0" applyAlignment="1" pivotButton="0" quotePrefix="0" xfId="0">
      <alignment vertical="center" indent="1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3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vertical="center"/>
    </xf>
    <xf numFmtId="4" fontId="5" fillId="4" borderId="2" applyAlignment="1" pivotButton="0" quotePrefix="0" xfId="0">
      <alignment vertical="center"/>
    </xf>
    <xf numFmtId="2" fontId="5" fillId="4" borderId="2" applyAlignment="1" pivotButton="0" quotePrefix="0" xfId="0">
      <alignment vertical="center"/>
    </xf>
    <xf numFmtId="1" fontId="6" fillId="5" borderId="2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165" fontId="5" fillId="4" borderId="2" applyAlignment="1" pivotButton="0" quotePrefix="0" xfId="0">
      <alignment vertical="center"/>
    </xf>
    <xf numFmtId="0" fontId="6" fillId="5" borderId="2" applyAlignment="1" pivotButton="0" quotePrefix="0" xfId="0">
      <alignment vertical="center"/>
    </xf>
    <xf numFmtId="4" fontId="6" fillId="5" borderId="2" applyAlignment="1" pivotButton="0" quotePrefix="0" xfId="0">
      <alignment vertical="center"/>
    </xf>
    <xf numFmtId="2" fontId="6" fillId="5" borderId="2" applyAlignment="1" pivotButton="0" quotePrefix="0" xfId="0">
      <alignment vertical="center"/>
    </xf>
    <xf numFmtId="1" fontId="7" fillId="5" borderId="2" applyAlignment="1" pivotButton="0" quotePrefix="0" xfId="0">
      <alignment horizontal="right" vertical="center"/>
    </xf>
    <xf numFmtId="165" fontId="7" fillId="5" borderId="2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/>
    </xf>
    <xf numFmtId="4" fontId="6" fillId="5" borderId="2" applyAlignment="1" pivotButton="0" quotePrefix="0" xfId="0">
      <alignment horizontal="right" vertical="center"/>
    </xf>
    <xf numFmtId="0" fontId="6" fillId="5" borderId="2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9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/>
    </xf>
    <xf numFmtId="166" fontId="6" fillId="5" borderId="2" applyAlignment="1" pivotButton="0" quotePrefix="0" xfId="0">
      <alignment horizontal="center" vertical="center"/>
    </xf>
    <xf numFmtId="4" fontId="7" fillId="5" borderId="2" applyAlignment="1" pivotButton="0" quotePrefix="0" xfId="0">
      <alignment vertical="center"/>
    </xf>
    <xf numFmtId="0" fontId="13" fillId="0" borderId="0" pivotButton="0" quotePrefix="0" xfId="0"/>
    <xf numFmtId="0" fontId="10" fillId="0" borderId="7" pivotButton="0" quotePrefix="0" xfId="0"/>
    <xf numFmtId="0" fontId="11" fillId="0" borderId="0" applyAlignment="1" pivotButton="0" quotePrefix="0" xfId="0">
      <alignment vertical="top" wrapText="1" inden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H37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2" customWidth="1" min="5" max="5"/>
    <col width="13" customWidth="1" min="6" max="6"/>
    <col width="4" customWidth="1" min="7" max="7"/>
    <col width="4" customWidth="1" min="8" max="8"/>
  </cols>
  <sheetData>
    <row r="1" ht="32" customHeight="1">
      <c r="A1" s="1" t="inlineStr">
        <is>
          <t>Debt Snowball Planner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List up to 5 debts, add an extra payment and see the payoff month by month.</t>
        </is>
      </c>
      <c r="B2" s="2" t="n"/>
      <c r="C2" s="2" t="n"/>
      <c r="D2" s="2" t="n"/>
      <c r="E2" s="2" t="n"/>
      <c r="F2" s="2" t="n"/>
      <c r="G2" s="2" t="n"/>
      <c r="H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0" customHeight="1">
      <c r="A4" s="5" t="inlineStr">
        <is>
          <t>Example debts are in the blue cells. Type over them or clear them, the grey cells calculate.</t>
        </is>
      </c>
      <c r="B4" s="4" t="n"/>
      <c r="C4" s="4" t="n"/>
      <c r="D4" s="4" t="n"/>
      <c r="E4" s="4" t="n"/>
      <c r="F4" s="4" t="n"/>
      <c r="G4" s="4" t="n"/>
      <c r="H4" s="4" t="n"/>
    </row>
    <row r="7" ht="22" customHeight="1">
      <c r="A7" s="6" t="inlineStr">
        <is>
          <t>YOUR DEBTS (UP TO 5)</t>
        </is>
      </c>
      <c r="B7" s="7" t="n"/>
      <c r="C7" s="7" t="n"/>
      <c r="D7" s="7" t="n"/>
      <c r="E7" s="7" t="n"/>
      <c r="F7" s="7" t="n"/>
    </row>
    <row r="8" ht="30" customHeight="1">
      <c r="A8" s="8" t="inlineStr">
        <is>
          <t>Debt</t>
        </is>
      </c>
      <c r="B8" s="8" t="inlineStr">
        <is>
          <t>Balance</t>
        </is>
      </c>
      <c r="C8" s="8" t="inlineStr">
        <is>
          <t>APR %</t>
        </is>
      </c>
      <c r="D8" s="8" t="inlineStr">
        <is>
          <t>Minimum payment</t>
        </is>
      </c>
      <c r="E8" s="8" t="inlineStr">
        <is>
          <t>Snowball order</t>
        </is>
      </c>
      <c r="F8" s="8" t="inlineStr">
        <is>
          <t>Paid off in month</t>
        </is>
      </c>
    </row>
    <row r="9">
      <c r="A9" s="9" t="inlineStr">
        <is>
          <t>Store card</t>
        </is>
      </c>
      <c r="B9" s="10" t="n">
        <v>1260</v>
      </c>
      <c r="C9" s="11" t="n">
        <v>26.99</v>
      </c>
      <c r="D9" s="10" t="n">
        <v>45</v>
      </c>
      <c r="E9" s="12">
        <f>IF(N(B9)&gt;0,COUNTIF($B$9:$B$13,"&lt;"&amp;B9)+COUNTIF($B$9:B9,B9),"")</f>
        <v>1</v>
      </c>
      <c r="F9" s="12">
        <f>IF(E9="","",CHOOSE(E9,IF(Schedule!G66&gt;0.005,"60+",COUNTIF(Schedule!G7:G66,"&gt;0.005")+1),IF(Schedule!J66&gt;0.005,"60+",COUNTIF(Schedule!J7:J66,"&gt;0.005")+1),IF(Schedule!M66&gt;0.005,"60+",COUNTIF(Schedule!M7:M66,"&gt;0.005")+1),IF(Schedule!P66&gt;0.005,"60+",COUNTIF(Schedule!P7:P66,"&gt;0.005")+1),IF(Schedule!S66&gt;0.005,"60+",COUNTIF(Schedule!S7:S66,"&gt;0.005")+1)))</f>
        <v>8</v>
      </c>
    </row>
    <row r="10">
      <c r="A10" s="9" t="inlineStr">
        <is>
          <t>Credit card</t>
        </is>
      </c>
      <c r="B10" s="10" t="n">
        <v>4850</v>
      </c>
      <c r="C10" s="11" t="n">
        <v>22.99</v>
      </c>
      <c r="D10" s="10" t="n">
        <v>120</v>
      </c>
      <c r="E10" s="12">
        <f>IF(N(B10)&gt;0,COUNTIF($B$9:$B$13,"&lt;"&amp;B10)+COUNTIF($B$9:B10,B10),"")</f>
        <v>3</v>
      </c>
      <c r="F10" s="12">
        <f>IF(E10="","",CHOOSE(E10,IF(Schedule!G66&gt;0.005,"60+",COUNTIF(Schedule!G7:G66,"&gt;0.005")+1),IF(Schedule!J66&gt;0.005,"60+",COUNTIF(Schedule!J7:J66,"&gt;0.005")+1),IF(Schedule!M66&gt;0.005,"60+",COUNTIF(Schedule!M7:M66,"&gt;0.005")+1),IF(Schedule!P66&gt;0.005,"60+",COUNTIF(Schedule!P7:P66,"&gt;0.005")+1),IF(Schedule!S66&gt;0.005,"60+",COUNTIF(Schedule!S7:S66,"&gt;0.005")+1)))</f>
        <v>27</v>
      </c>
    </row>
    <row r="11">
      <c r="A11" s="9" t="inlineStr">
        <is>
          <t>Car loan</t>
        </is>
      </c>
      <c r="B11" s="10" t="n">
        <v>9400</v>
      </c>
      <c r="C11" s="11" t="n">
        <v>6.49</v>
      </c>
      <c r="D11" s="10" t="n">
        <v>285</v>
      </c>
      <c r="E11" s="12">
        <f>IF(N(B11)&gt;0,COUNTIF($B$9:$B$13,"&lt;"&amp;B11)+COUNTIF($B$9:B11,B11),"")</f>
        <v>4</v>
      </c>
      <c r="F11" s="12">
        <f>IF(E11="","",CHOOSE(E11,IF(Schedule!G66&gt;0.005,"60+",COUNTIF(Schedule!G7:G66,"&gt;0.005")+1),IF(Schedule!J66&gt;0.005,"60+",COUNTIF(Schedule!J7:J66,"&gt;0.005")+1),IF(Schedule!M66&gt;0.005,"60+",COUNTIF(Schedule!M7:M66,"&gt;0.005")+1),IF(Schedule!P66&gt;0.005,"60+",COUNTIF(Schedule!P7:P66,"&gt;0.005")+1),IF(Schedule!S66&gt;0.005,"60+",COUNTIF(Schedule!S7:S66,"&gt;0.005")+1)))</f>
        <v>31</v>
      </c>
    </row>
    <row r="12">
      <c r="A12" s="9" t="inlineStr">
        <is>
          <t>Personal loan</t>
        </is>
      </c>
      <c r="B12" s="10" t="n">
        <v>2300</v>
      </c>
      <c r="C12" s="11" t="n">
        <v>11.5</v>
      </c>
      <c r="D12" s="10" t="n">
        <v>90</v>
      </c>
      <c r="E12" s="12">
        <f>IF(N(B12)&gt;0,COUNTIF($B$9:$B$13,"&lt;"&amp;B12)+COUNTIF($B$9:B12,B12),"")</f>
        <v>2</v>
      </c>
      <c r="F12" s="12">
        <f>IF(E12="","",CHOOSE(E12,IF(Schedule!G66&gt;0.005,"60+",COUNTIF(Schedule!G7:G66,"&gt;0.005")+1),IF(Schedule!J66&gt;0.005,"60+",COUNTIF(Schedule!J7:J66,"&gt;0.005")+1),IF(Schedule!M66&gt;0.005,"60+",COUNTIF(Schedule!M7:M66,"&gt;0.005")+1),IF(Schedule!P66&gt;0.005,"60+",COUNTIF(Schedule!P7:P66,"&gt;0.005")+1),IF(Schedule!S66&gt;0.005,"60+",COUNTIF(Schedule!S7:S66,"&gt;0.005")+1)))</f>
        <v>14</v>
      </c>
    </row>
    <row r="13">
      <c r="A13" s="9" t="n"/>
      <c r="B13" s="10" t="n"/>
      <c r="C13" s="11" t="n"/>
      <c r="D13" s="10" t="n"/>
      <c r="E13" s="12" t="str">
        <f>IF(N(B13)&gt;0,COUNTIF($B$9:$B$13,"&lt;"&amp;B13)+COUNTIF($B$9:B13,B13),"")</f>
        <v/>
      </c>
      <c r="F13" s="12" t="str">
        <f>IF(E13="","",CHOOSE(E13,IF(Schedule!G66&gt;0.005,"60+",COUNTIF(Schedule!G7:G66,"&gt;0.005")+1),IF(Schedule!J66&gt;0.005,"60+",COUNTIF(Schedule!J7:J66,"&gt;0.005")+1),IF(Schedule!M66&gt;0.005,"60+",COUNTIF(Schedule!M7:M66,"&gt;0.005")+1),IF(Schedule!P66&gt;0.005,"60+",COUNTIF(Schedule!P7:P66,"&gt;0.005")+1),IF(Schedule!S66&gt;0.005,"60+",COUNTIF(Schedule!S7:S66,"&gt;0.005")+1)))</f>
        <v/>
      </c>
    </row>
    <row r="15">
      <c r="A15" s="13" t="inlineStr">
        <is>
          <t>Extra payment per month</t>
        </is>
      </c>
      <c r="C15" s="10" t="n">
        <v>150</v>
      </c>
    </row>
    <row r="16">
      <c r="A16" s="13" t="inlineStr">
        <is>
          <t>First month of the plan</t>
        </is>
      </c>
      <c r="C16" s="14" t="n">
        <v>46327</v>
      </c>
    </row>
    <row r="18" ht="22" customHeight="1">
      <c r="A18" s="6" t="inlineStr">
        <is>
          <t>SNOWBALL ORDER (SMALLEST BALANCE FIRST)</t>
        </is>
      </c>
      <c r="B18" s="7" t="n"/>
      <c r="C18" s="7" t="n"/>
      <c r="D18" s="7" t="n"/>
      <c r="E18" s="7" t="n"/>
      <c r="F18" s="7" t="n"/>
    </row>
    <row r="19" ht="30" customHeight="1">
      <c r="A19" s="8" t="inlineStr">
        <is>
          <t>Slot / debt</t>
        </is>
      </c>
      <c r="B19" s="8" t="inlineStr">
        <is>
          <t>Balance</t>
        </is>
      </c>
      <c r="C19" s="8" t="inlineStr">
        <is>
          <t>APR %</t>
        </is>
      </c>
      <c r="D19" s="8" t="inlineStr">
        <is>
          <t>Minimum payment</t>
        </is>
      </c>
    </row>
    <row r="20">
      <c r="A20" s="15" t="str">
        <f>IFERROR(INDEX($A$9:$A$13,MATCH(1,$E$9:$E$13,0)),"")</f>
        <v>Store card</v>
      </c>
      <c r="B20" s="16">
        <f>IFERROR(INDEX($B$9:$B$13,MATCH(1,$E$9:$E$13,0)),0)</f>
        <v>1260</v>
      </c>
      <c r="C20" s="17">
        <f>IFERROR(INDEX($C$9:$C$13,MATCH(1,$E$9:$E$13,0)),0)</f>
        <v>26.99</v>
      </c>
      <c r="D20" s="16">
        <f>IFERROR(INDEX($D$9:$D$13,MATCH(1,$E$9:$E$13,0)),0)</f>
        <v>45</v>
      </c>
    </row>
    <row r="21">
      <c r="A21" s="15" t="str">
        <f>IFERROR(INDEX($A$9:$A$13,MATCH(2,$E$9:$E$13,0)),"")</f>
        <v>Personal loan</v>
      </c>
      <c r="B21" s="16">
        <f>IFERROR(INDEX($B$9:$B$13,MATCH(2,$E$9:$E$13,0)),0)</f>
        <v>2300</v>
      </c>
      <c r="C21" s="17">
        <f>IFERROR(INDEX($C$9:$C$13,MATCH(2,$E$9:$E$13,0)),0)</f>
        <v>11.5</v>
      </c>
      <c r="D21" s="16">
        <f>IFERROR(INDEX($D$9:$D$13,MATCH(2,$E$9:$E$13,0)),0)</f>
        <v>90</v>
      </c>
    </row>
    <row r="22">
      <c r="A22" s="15" t="str">
        <f>IFERROR(INDEX($A$9:$A$13,MATCH(3,$E$9:$E$13,0)),"")</f>
        <v>Credit card</v>
      </c>
      <c r="B22" s="16">
        <f>IFERROR(INDEX($B$9:$B$13,MATCH(3,$E$9:$E$13,0)),0)</f>
        <v>4850</v>
      </c>
      <c r="C22" s="17">
        <f>IFERROR(INDEX($C$9:$C$13,MATCH(3,$E$9:$E$13,0)),0)</f>
        <v>22.99</v>
      </c>
      <c r="D22" s="16">
        <f>IFERROR(INDEX($D$9:$D$13,MATCH(3,$E$9:$E$13,0)),0)</f>
        <v>120</v>
      </c>
    </row>
    <row r="23">
      <c r="A23" s="15" t="str">
        <f>IFERROR(INDEX($A$9:$A$13,MATCH(4,$E$9:$E$13,0)),"")</f>
        <v>Car loan</v>
      </c>
      <c r="B23" s="16">
        <f>IFERROR(INDEX($B$9:$B$13,MATCH(4,$E$9:$E$13,0)),0)</f>
        <v>9400</v>
      </c>
      <c r="C23" s="17">
        <f>IFERROR(INDEX($C$9:$C$13,MATCH(4,$E$9:$E$13,0)),0)</f>
        <v>6.49</v>
      </c>
      <c r="D23" s="16">
        <f>IFERROR(INDEX($D$9:$D$13,MATCH(4,$E$9:$E$13,0)),0)</f>
        <v>285</v>
      </c>
    </row>
    <row r="24">
      <c r="A24" s="15" t="str">
        <f>IFERROR(INDEX($A$9:$A$13,MATCH(5,$E$9:$E$13,0)),"")</f>
        <v/>
      </c>
      <c r="B24" s="16">
        <f>IFERROR(INDEX($B$9:$B$13,MATCH(5,$E$9:$E$13,0)),0)</f>
        <v>0</v>
      </c>
      <c r="C24" s="17">
        <f>IFERROR(INDEX($C$9:$C$13,MATCH(5,$E$9:$E$13,0)),0)</f>
        <v>0</v>
      </c>
      <c r="D24" s="16">
        <f>IFERROR(INDEX($D$9:$D$13,MATCH(5,$E$9:$E$13,0)),0)</f>
        <v>0</v>
      </c>
    </row>
    <row r="28" ht="22" customHeight="1">
      <c r="A28" s="6" t="inlineStr">
        <is>
          <t>YOUR PLAN</t>
        </is>
      </c>
      <c r="B28" s="7" t="n"/>
      <c r="C28" s="7" t="n"/>
      <c r="D28" s="7" t="n"/>
      <c r="E28" s="7" t="n"/>
      <c r="F28" s="7" t="n"/>
    </row>
    <row r="29">
      <c r="A29" s="13" t="inlineStr">
        <is>
          <t>Months to be debt free</t>
        </is>
      </c>
      <c r="D29" s="18">
        <f>IF(Schedule!T66&gt;0.005,"More than 60",SUM(Schedule!C7:C66))</f>
        <v>31</v>
      </c>
    </row>
    <row r="30">
      <c r="A30" s="13" t="inlineStr">
        <is>
          <t>Debt free in</t>
        </is>
      </c>
      <c r="D30" s="19">
        <f>IF(Schedule!T66&gt;0.005,"",EDATE(C16,SUM(Schedule!C7:C66)-1))</f>
        <v>47239.0</v>
      </c>
    </row>
    <row r="31">
      <c r="A31" s="20" t="inlineStr">
        <is>
          <t>Total interest paid</t>
        </is>
      </c>
      <c r="D31" s="21">
        <f>SUM(Schedule!U7:U66)</f>
        <v>3065.26</v>
      </c>
    </row>
    <row r="32">
      <c r="A32" s="20" t="inlineStr">
        <is>
          <t>Total paid</t>
        </is>
      </c>
      <c r="D32" s="21">
        <f>SUM(Schedule!V7:V66)</f>
        <v>20875.26</v>
      </c>
    </row>
    <row r="33">
      <c r="A33" s="20" t="inlineStr">
        <is>
          <t>Total debt today</t>
        </is>
      </c>
      <c r="D33" s="21">
        <f>SUM(B9:B13)</f>
        <v>17810</v>
      </c>
    </row>
    <row r="34">
      <c r="A34" s="20" t="inlineStr">
        <is>
          <t>Minimum payments only warning</t>
        </is>
      </c>
      <c r="D34" s="22" t="str">
        <f>IF(SUMPRODUCT((D9:D13&gt;0)*(D9:D13&lt;B9:B13*C9:C13/100/12))&gt;0,"A minimum payment is below the monthly interest","OK")</f>
        <v>OK</v>
      </c>
      <c r="E34" s="23" t="n"/>
      <c r="F34" s="24" t="n"/>
    </row>
    <row r="36" ht="28" customHeight="1">
      <c r="A36" s="25" t="inlineStr">
        <is>
          <t>Snowball method: pay the minimum on every debt, put everything extra on the smallest balance, then roll its payment onto the next one.</t>
        </is>
      </c>
    </row>
    <row r="37" ht="28" customHeight="1">
      <c r="A37" s="25" t="inlineStr">
        <is>
          <t>A planning template. It does not connect to any bank or app and is not financial, legal or tax advice.</t>
        </is>
      </c>
    </row>
  </sheetData>
  <mergeCells count="3">
    <mergeCell ref="A36:F36"/>
    <mergeCell ref="D34:F34"/>
    <mergeCell ref="A37:F37"/>
  </mergeCells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V66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1.5" customWidth="1" min="19" max="19"/>
    <col width="11.5" customWidth="1" min="20" max="20"/>
    <col width="11.5" customWidth="1" min="21" max="21"/>
    <col width="11.5" customWidth="1" min="22" max="22"/>
  </cols>
  <sheetData>
    <row r="1" ht="32" customHeight="1">
      <c r="A1" s="1" t="inlineStr">
        <is>
          <t>Payoff schedule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 ht="20" customHeight="1">
      <c r="A2" s="3" t="inlineStr">
        <is>
          <t>Month by month. Every figure is a formula of the Debts sheet.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</row>
    <row r="4">
      <c r="A4" s="26" t="inlineStr">
        <is>
          <t>Slots:</t>
        </is>
      </c>
      <c r="E4" s="26" t="str">
        <f>Debts!A20</f>
        <v>Store card</v>
      </c>
      <c r="H4" s="26" t="str">
        <f>Debts!A21</f>
        <v>Personal loan</v>
      </c>
      <c r="K4" s="26" t="str">
        <f>Debts!A22</f>
        <v>Credit card</v>
      </c>
      <c r="N4" s="26" t="str">
        <f>Debts!A23</f>
        <v>Car loan</v>
      </c>
      <c r="Q4" s="26" t="str">
        <f>Debts!A24</f>
        <v/>
      </c>
    </row>
    <row r="5" ht="32" customHeight="1">
      <c r="A5" s="8" t="inlineStr">
        <is>
          <t>Month</t>
        </is>
      </c>
      <c r="B5" s="8" t="inlineStr">
        <is>
          <t>Date</t>
        </is>
      </c>
      <c r="C5" s="8" t="inlineStr">
        <is>
          <t>Open</t>
        </is>
      </c>
      <c r="D5" s="8" t="inlineStr">
        <is>
          <t>Extra pool</t>
        </is>
      </c>
      <c r="E5" s="8" t="inlineStr">
        <is>
          <t>Interest 1</t>
        </is>
      </c>
      <c r="F5" s="8" t="inlineStr">
        <is>
          <t>Payment 1</t>
        </is>
      </c>
      <c r="G5" s="8" t="inlineStr">
        <is>
          <t>Balance 1</t>
        </is>
      </c>
      <c r="H5" s="8" t="inlineStr">
        <is>
          <t>Interest 2</t>
        </is>
      </c>
      <c r="I5" s="8" t="inlineStr">
        <is>
          <t>Payment 2</t>
        </is>
      </c>
      <c r="J5" s="8" t="inlineStr">
        <is>
          <t>Balance 2</t>
        </is>
      </c>
      <c r="K5" s="8" t="inlineStr">
        <is>
          <t>Interest 3</t>
        </is>
      </c>
      <c r="L5" s="8" t="inlineStr">
        <is>
          <t>Payment 3</t>
        </is>
      </c>
      <c r="M5" s="8" t="inlineStr">
        <is>
          <t>Balance 3</t>
        </is>
      </c>
      <c r="N5" s="8" t="inlineStr">
        <is>
          <t>Interest 4</t>
        </is>
      </c>
      <c r="O5" s="8" t="inlineStr">
        <is>
          <t>Payment 4</t>
        </is>
      </c>
      <c r="P5" s="8" t="inlineStr">
        <is>
          <t>Balance 4</t>
        </is>
      </c>
      <c r="Q5" s="8" t="inlineStr">
        <is>
          <t>Interest 5</t>
        </is>
      </c>
      <c r="R5" s="8" t="inlineStr">
        <is>
          <t>Payment 5</t>
        </is>
      </c>
      <c r="S5" s="8" t="inlineStr">
        <is>
          <t>Balance 5</t>
        </is>
      </c>
      <c r="T5" s="8" t="inlineStr">
        <is>
          <t>Total balance</t>
        </is>
      </c>
      <c r="U5" s="8" t="inlineStr">
        <is>
          <t>Total interest</t>
        </is>
      </c>
      <c r="V5" s="8" t="inlineStr">
        <is>
          <t>Total paid</t>
        </is>
      </c>
    </row>
    <row r="6">
      <c r="A6" s="12" t="n">
        <v>0</v>
      </c>
      <c r="B6" s="27">
        <f>Debts!$C$16</f>
        <v>46327.0</v>
      </c>
      <c r="C6" s="15" t="inlineStr"/>
      <c r="D6" s="15" t="inlineStr"/>
      <c r="E6" s="15" t="n"/>
      <c r="F6" s="15" t="n"/>
      <c r="G6" s="16">
        <f>Debts!$B$20</f>
        <v>1260</v>
      </c>
      <c r="H6" s="15" t="n"/>
      <c r="I6" s="15" t="n"/>
      <c r="J6" s="16">
        <f>Debts!$B$21</f>
        <v>2300</v>
      </c>
      <c r="K6" s="15" t="n"/>
      <c r="L6" s="15" t="n"/>
      <c r="M6" s="16">
        <f>Debts!$B$22</f>
        <v>4850</v>
      </c>
      <c r="N6" s="15" t="n"/>
      <c r="O6" s="15" t="n"/>
      <c r="P6" s="16">
        <f>Debts!$B$23</f>
        <v>9400</v>
      </c>
      <c r="Q6" s="15" t="n"/>
      <c r="R6" s="15" t="n"/>
      <c r="S6" s="16">
        <f>Debts!$B$24</f>
        <v>0</v>
      </c>
      <c r="T6" s="28">
        <f>G6+J6+M6+P6+S6</f>
        <v>17810</v>
      </c>
      <c r="U6" s="15" t="inlineStr"/>
      <c r="V6" s="15" t="inlineStr"/>
    </row>
    <row r="7">
      <c r="A7" s="12" t="n">
        <v>1</v>
      </c>
      <c r="B7" s="27">
        <f>EDATE(Debts!$C$16,0)</f>
        <v>46327.0</v>
      </c>
      <c r="C7" s="12">
        <f>IF(T6&gt;0.005,1,0)</f>
        <v>1</v>
      </c>
      <c r="D7" s="16">
        <f>ROUND(MAX(0,(SUM(Debts!$D$20:$D$24)+N(Debts!$C$15))-(MIN(Debts!$D$20,G6+E7)+MIN(Debts!$D$21,J6+H7)+MIN(Debts!$D$22,M6+K7)+MIN(Debts!$D$23,P6+N7)+MIN(Debts!$D$24,S6+Q7))),2)*C7</f>
        <v>150</v>
      </c>
      <c r="E7" s="16">
        <f>ROUND(G6*Debts!$C$20/100/12,2)</f>
        <v>28.34</v>
      </c>
      <c r="F7" s="16">
        <f>MIN(G6+E7,Debts!$D$20+MAX(0,$D7-(0)))</f>
        <v>195</v>
      </c>
      <c r="G7" s="16">
        <f>ROUND(G6+E7-F7,2)</f>
        <v>1093.34</v>
      </c>
      <c r="H7" s="16">
        <f>ROUND(J6*Debts!$C$21/100/12,2)</f>
        <v>22.04</v>
      </c>
      <c r="I7" s="16">
        <f>MIN(J6+H7,Debts!$D$21+MAX(0,$D7-((F7-MIN(Debts!$D$20,G6+E7)))))</f>
        <v>90</v>
      </c>
      <c r="J7" s="16">
        <f>ROUND(J6+H7-I7,2)</f>
        <v>2232.04</v>
      </c>
      <c r="K7" s="16">
        <f>ROUND(M6*Debts!$C$22/100/12,2)</f>
        <v>92.92</v>
      </c>
      <c r="L7" s="16">
        <f>MIN(M6+K7,Debts!$D$22+MAX(0,$D7-((F7-MIN(Debts!$D$20,G6+E7))+(I7-MIN(Debts!$D$21,J6+H7)))))</f>
        <v>120</v>
      </c>
      <c r="M7" s="16">
        <f>ROUND(M6+K7-L7,2)</f>
        <v>4822.92</v>
      </c>
      <c r="N7" s="16">
        <f>ROUND(P6*Debts!$C$23/100/12,2)</f>
        <v>50.84</v>
      </c>
      <c r="O7" s="16">
        <f>MIN(P6+N7,Debts!$D$23+MAX(0,$D7-((F7-MIN(Debts!$D$20,G6+E7))+(I7-MIN(Debts!$D$21,J6+H7))+(L7-MIN(Debts!$D$22,M6+K7)))))</f>
        <v>285</v>
      </c>
      <c r="P7" s="16">
        <f>ROUND(P6+N7-O7,2)</f>
        <v>9165.84</v>
      </c>
      <c r="Q7" s="16">
        <f>ROUND(S6*Debts!$C$24/100/12,2)</f>
        <v>0</v>
      </c>
      <c r="R7" s="16">
        <f>MIN(S6+Q7,Debts!$D$24+MAX(0,$D7-((F7-MIN(Debts!$D$20,G6+E7))+(I7-MIN(Debts!$D$21,J6+H7))+(L7-MIN(Debts!$D$22,M6+K7))+(O7-MIN(Debts!$D$23,P6+N7)))))</f>
        <v>0</v>
      </c>
      <c r="S7" s="16">
        <f>ROUND(S6+Q7-R7,2)</f>
        <v>0</v>
      </c>
      <c r="T7" s="28">
        <f>G7+J7+M7+P7+S7</f>
        <v>17314.14</v>
      </c>
      <c r="U7" s="16">
        <f>E7+H7+K7+N7+Q7</f>
        <v>194.14</v>
      </c>
      <c r="V7" s="16">
        <f>F7+I7+L7+O7+R7</f>
        <v>690</v>
      </c>
    </row>
    <row r="8">
      <c r="A8" s="12" t="n">
        <v>2</v>
      </c>
      <c r="B8" s="27">
        <f>EDATE(Debts!$C$16,1)</f>
        <v>46357.0</v>
      </c>
      <c r="C8" s="12">
        <f>IF(T7&gt;0.005,1,0)</f>
        <v>1</v>
      </c>
      <c r="D8" s="16">
        <f>ROUND(MAX(0,(SUM(Debts!$D$20:$D$24)+N(Debts!$C$15))-(MIN(Debts!$D$20,G7+E8)+MIN(Debts!$D$21,J7+H8)+MIN(Debts!$D$22,M7+K8)+MIN(Debts!$D$23,P7+N8)+MIN(Debts!$D$24,S7+Q8))),2)*C8</f>
        <v>150</v>
      </c>
      <c r="E8" s="16">
        <f>ROUND(G7*Debts!$C$20/100/12,2)</f>
        <v>24.59</v>
      </c>
      <c r="F8" s="16">
        <f>MIN(G7+E8,Debts!$D$20+MAX(0,$D8-(0)))</f>
        <v>195</v>
      </c>
      <c r="G8" s="16">
        <f>ROUND(G7+E8-F8,2)</f>
        <v>922.93</v>
      </c>
      <c r="H8" s="16">
        <f>ROUND(J7*Debts!$C$21/100/12,2)</f>
        <v>21.39</v>
      </c>
      <c r="I8" s="16">
        <f>MIN(J7+H8,Debts!$D$21+MAX(0,$D8-((F8-MIN(Debts!$D$20,G7+E8)))))</f>
        <v>90</v>
      </c>
      <c r="J8" s="16">
        <f>ROUND(J7+H8-I8,2)</f>
        <v>2163.43</v>
      </c>
      <c r="K8" s="16">
        <f>ROUND(M7*Debts!$C$22/100/12,2)</f>
        <v>92.4</v>
      </c>
      <c r="L8" s="16">
        <f>MIN(M7+K8,Debts!$D$22+MAX(0,$D8-((F8-MIN(Debts!$D$20,G7+E8))+(I8-MIN(Debts!$D$21,J7+H8)))))</f>
        <v>120</v>
      </c>
      <c r="M8" s="16">
        <f>ROUND(M7+K8-L8,2)</f>
        <v>4795.32</v>
      </c>
      <c r="N8" s="16">
        <f>ROUND(P7*Debts!$C$23/100/12,2)</f>
        <v>49.57</v>
      </c>
      <c r="O8" s="16">
        <f>MIN(P7+N8,Debts!$D$23+MAX(0,$D8-((F8-MIN(Debts!$D$20,G7+E8))+(I8-MIN(Debts!$D$21,J7+H8))+(L8-MIN(Debts!$D$22,M7+K8)))))</f>
        <v>285</v>
      </c>
      <c r="P8" s="16">
        <f>ROUND(P7+N8-O8,2)</f>
        <v>8930.41</v>
      </c>
      <c r="Q8" s="16">
        <f>ROUND(S7*Debts!$C$24/100/12,2)</f>
        <v>0</v>
      </c>
      <c r="R8" s="16">
        <f>MIN(S7+Q8,Debts!$D$24+MAX(0,$D8-((F8-MIN(Debts!$D$20,G7+E8))+(I8-MIN(Debts!$D$21,J7+H8))+(L8-MIN(Debts!$D$22,M7+K8))+(O8-MIN(Debts!$D$23,P7+N8)))))</f>
        <v>0</v>
      </c>
      <c r="S8" s="16">
        <f>ROUND(S7+Q8-R8,2)</f>
        <v>0</v>
      </c>
      <c r="T8" s="28">
        <f>G8+J8+M8+P8+S8</f>
        <v>16812.09</v>
      </c>
      <c r="U8" s="16">
        <f>E8+H8+K8+N8+Q8</f>
        <v>187.95</v>
      </c>
      <c r="V8" s="16">
        <f>F8+I8+L8+O8+R8</f>
        <v>690</v>
      </c>
    </row>
    <row r="9">
      <c r="A9" s="12" t="n">
        <v>3</v>
      </c>
      <c r="B9" s="27">
        <f>EDATE(Debts!$C$16,2)</f>
        <v>46388.0</v>
      </c>
      <c r="C9" s="12">
        <f>IF(T8&gt;0.005,1,0)</f>
        <v>1</v>
      </c>
      <c r="D9" s="16">
        <f>ROUND(MAX(0,(SUM(Debts!$D$20:$D$24)+N(Debts!$C$15))-(MIN(Debts!$D$20,G8+E9)+MIN(Debts!$D$21,J8+H9)+MIN(Debts!$D$22,M8+K9)+MIN(Debts!$D$23,P8+N9)+MIN(Debts!$D$24,S8+Q9))),2)*C9</f>
        <v>150</v>
      </c>
      <c r="E9" s="16">
        <f>ROUND(G8*Debts!$C$20/100/12,2)</f>
        <v>20.76</v>
      </c>
      <c r="F9" s="16">
        <f>MIN(G8+E9,Debts!$D$20+MAX(0,$D9-(0)))</f>
        <v>195</v>
      </c>
      <c r="G9" s="16">
        <f>ROUND(G8+E9-F9,2)</f>
        <v>748.69</v>
      </c>
      <c r="H9" s="16">
        <f>ROUND(J8*Debts!$C$21/100/12,2)</f>
        <v>20.73</v>
      </c>
      <c r="I9" s="16">
        <f>MIN(J8+H9,Debts!$D$21+MAX(0,$D9-((F9-MIN(Debts!$D$20,G8+E9)))))</f>
        <v>90</v>
      </c>
      <c r="J9" s="16">
        <f>ROUND(J8+H9-I9,2)</f>
        <v>2094.16</v>
      </c>
      <c r="K9" s="16">
        <f>ROUND(M8*Debts!$C$22/100/12,2)</f>
        <v>91.87</v>
      </c>
      <c r="L9" s="16">
        <f>MIN(M8+K9,Debts!$D$22+MAX(0,$D9-((F9-MIN(Debts!$D$20,G8+E9))+(I9-MIN(Debts!$D$21,J8+H9)))))</f>
        <v>120</v>
      </c>
      <c r="M9" s="16">
        <f>ROUND(M8+K9-L9,2)</f>
        <v>4767.19</v>
      </c>
      <c r="N9" s="16">
        <f>ROUND(P8*Debts!$C$23/100/12,2)</f>
        <v>48.3</v>
      </c>
      <c r="O9" s="16">
        <f>MIN(P8+N9,Debts!$D$23+MAX(0,$D9-((F9-MIN(Debts!$D$20,G8+E9))+(I9-MIN(Debts!$D$21,J8+H9))+(L9-MIN(Debts!$D$22,M8+K9)))))</f>
        <v>285</v>
      </c>
      <c r="P9" s="16">
        <f>ROUND(P8+N9-O9,2)</f>
        <v>8693.71</v>
      </c>
      <c r="Q9" s="16">
        <f>ROUND(S8*Debts!$C$24/100/12,2)</f>
        <v>0</v>
      </c>
      <c r="R9" s="16">
        <f>MIN(S8+Q9,Debts!$D$24+MAX(0,$D9-((F9-MIN(Debts!$D$20,G8+E9))+(I9-MIN(Debts!$D$21,J8+H9))+(L9-MIN(Debts!$D$22,M8+K9))+(O9-MIN(Debts!$D$23,P8+N9)))))</f>
        <v>0</v>
      </c>
      <c r="S9" s="16">
        <f>ROUND(S8+Q9-R9,2)</f>
        <v>0</v>
      </c>
      <c r="T9" s="28">
        <f>G9+J9+M9+P9+S9</f>
        <v>16303.75</v>
      </c>
      <c r="U9" s="16">
        <f>E9+H9+K9+N9+Q9</f>
        <v>181.66</v>
      </c>
      <c r="V9" s="16">
        <f>F9+I9+L9+O9+R9</f>
        <v>690</v>
      </c>
    </row>
    <row r="10">
      <c r="A10" s="12" t="n">
        <v>4</v>
      </c>
      <c r="B10" s="27">
        <f>EDATE(Debts!$C$16,3)</f>
        <v>46419.0</v>
      </c>
      <c r="C10" s="12">
        <f>IF(T9&gt;0.005,1,0)</f>
        <v>1</v>
      </c>
      <c r="D10" s="16">
        <f>ROUND(MAX(0,(SUM(Debts!$D$20:$D$24)+N(Debts!$C$15))-(MIN(Debts!$D$20,G9+E10)+MIN(Debts!$D$21,J9+H10)+MIN(Debts!$D$22,M9+K10)+MIN(Debts!$D$23,P9+N10)+MIN(Debts!$D$24,S9+Q10))),2)*C10</f>
        <v>150</v>
      </c>
      <c r="E10" s="16">
        <f>ROUND(G9*Debts!$C$20/100/12,2)</f>
        <v>16.84</v>
      </c>
      <c r="F10" s="16">
        <f>MIN(G9+E10,Debts!$D$20+MAX(0,$D10-(0)))</f>
        <v>195</v>
      </c>
      <c r="G10" s="16">
        <f>ROUND(G9+E10-F10,2)</f>
        <v>570.53</v>
      </c>
      <c r="H10" s="16">
        <f>ROUND(J9*Debts!$C$21/100/12,2)</f>
        <v>20.07</v>
      </c>
      <c r="I10" s="16">
        <f>MIN(J9+H10,Debts!$D$21+MAX(0,$D10-((F10-MIN(Debts!$D$20,G9+E10)))))</f>
        <v>90</v>
      </c>
      <c r="J10" s="16">
        <f>ROUND(J9+H10-I10,2)</f>
        <v>2024.23</v>
      </c>
      <c r="K10" s="16">
        <f>ROUND(M9*Debts!$C$22/100/12,2)</f>
        <v>91.33</v>
      </c>
      <c r="L10" s="16">
        <f>MIN(M9+K10,Debts!$D$22+MAX(0,$D10-((F10-MIN(Debts!$D$20,G9+E10))+(I10-MIN(Debts!$D$21,J9+H10)))))</f>
        <v>120</v>
      </c>
      <c r="M10" s="16">
        <f>ROUND(M9+K10-L10,2)</f>
        <v>4738.52</v>
      </c>
      <c r="N10" s="16">
        <f>ROUND(P9*Debts!$C$23/100/12,2)</f>
        <v>47.02</v>
      </c>
      <c r="O10" s="16">
        <f>MIN(P9+N10,Debts!$D$23+MAX(0,$D10-((F10-MIN(Debts!$D$20,G9+E10))+(I10-MIN(Debts!$D$21,J9+H10))+(L10-MIN(Debts!$D$22,M9+K10)))))</f>
        <v>285</v>
      </c>
      <c r="P10" s="16">
        <f>ROUND(P9+N10-O10,2)</f>
        <v>8455.73</v>
      </c>
      <c r="Q10" s="16">
        <f>ROUND(S9*Debts!$C$24/100/12,2)</f>
        <v>0</v>
      </c>
      <c r="R10" s="16">
        <f>MIN(S9+Q10,Debts!$D$24+MAX(0,$D10-((F10-MIN(Debts!$D$20,G9+E10))+(I10-MIN(Debts!$D$21,J9+H10))+(L10-MIN(Debts!$D$22,M9+K10))+(O10-MIN(Debts!$D$23,P9+N10)))))</f>
        <v>0</v>
      </c>
      <c r="S10" s="16">
        <f>ROUND(S9+Q10-R10,2)</f>
        <v>0</v>
      </c>
      <c r="T10" s="28">
        <f>G10+J10+M10+P10+S10</f>
        <v>15789.01</v>
      </c>
      <c r="U10" s="16">
        <f>E10+H10+K10+N10+Q10</f>
        <v>175.26</v>
      </c>
      <c r="V10" s="16">
        <f>F10+I10+L10+O10+R10</f>
        <v>690</v>
      </c>
    </row>
    <row r="11">
      <c r="A11" s="12" t="n">
        <v>5</v>
      </c>
      <c r="B11" s="27">
        <f>EDATE(Debts!$C$16,4)</f>
        <v>46447.0</v>
      </c>
      <c r="C11" s="12">
        <f>IF(T10&gt;0.005,1,0)</f>
        <v>1</v>
      </c>
      <c r="D11" s="16">
        <f>ROUND(MAX(0,(SUM(Debts!$D$20:$D$24)+N(Debts!$C$15))-(MIN(Debts!$D$20,G10+E11)+MIN(Debts!$D$21,J10+H11)+MIN(Debts!$D$22,M10+K11)+MIN(Debts!$D$23,P10+N11)+MIN(Debts!$D$24,S10+Q11))),2)*C11</f>
        <v>150</v>
      </c>
      <c r="E11" s="16">
        <f>ROUND(G10*Debts!$C$20/100/12,2)</f>
        <v>12.83</v>
      </c>
      <c r="F11" s="16">
        <f>MIN(G10+E11,Debts!$D$20+MAX(0,$D11-(0)))</f>
        <v>195</v>
      </c>
      <c r="G11" s="16">
        <f>ROUND(G10+E11-F11,2)</f>
        <v>388.36</v>
      </c>
      <c r="H11" s="16">
        <f>ROUND(J10*Debts!$C$21/100/12,2)</f>
        <v>19.4</v>
      </c>
      <c r="I11" s="16">
        <f>MIN(J10+H11,Debts!$D$21+MAX(0,$D11-((F11-MIN(Debts!$D$20,G10+E11)))))</f>
        <v>90</v>
      </c>
      <c r="J11" s="16">
        <f>ROUND(J10+H11-I11,2)</f>
        <v>1953.63</v>
      </c>
      <c r="K11" s="16">
        <f>ROUND(M10*Debts!$C$22/100/12,2)</f>
        <v>90.78</v>
      </c>
      <c r="L11" s="16">
        <f>MIN(M10+K11,Debts!$D$22+MAX(0,$D11-((F11-MIN(Debts!$D$20,G10+E11))+(I11-MIN(Debts!$D$21,J10+H11)))))</f>
        <v>120</v>
      </c>
      <c r="M11" s="16">
        <f>ROUND(M10+K11-L11,2)</f>
        <v>4709.3</v>
      </c>
      <c r="N11" s="16">
        <f>ROUND(P10*Debts!$C$23/100/12,2)</f>
        <v>45.73</v>
      </c>
      <c r="O11" s="16">
        <f>MIN(P10+N11,Debts!$D$23+MAX(0,$D11-((F11-MIN(Debts!$D$20,G10+E11))+(I11-MIN(Debts!$D$21,J10+H11))+(L11-MIN(Debts!$D$22,M10+K11)))))</f>
        <v>285</v>
      </c>
      <c r="P11" s="16">
        <f>ROUND(P10+N11-O11,2)</f>
        <v>8216.46</v>
      </c>
      <c r="Q11" s="16">
        <f>ROUND(S10*Debts!$C$24/100/12,2)</f>
        <v>0</v>
      </c>
      <c r="R11" s="16">
        <f>MIN(S10+Q11,Debts!$D$24+MAX(0,$D11-((F11-MIN(Debts!$D$20,G10+E11))+(I11-MIN(Debts!$D$21,J10+H11))+(L11-MIN(Debts!$D$22,M10+K11))+(O11-MIN(Debts!$D$23,P10+N11)))))</f>
        <v>0</v>
      </c>
      <c r="S11" s="16">
        <f>ROUND(S10+Q11-R11,2)</f>
        <v>0</v>
      </c>
      <c r="T11" s="28">
        <f>G11+J11+M11+P11+S11</f>
        <v>15267.75</v>
      </c>
      <c r="U11" s="16">
        <f>E11+H11+K11+N11+Q11</f>
        <v>168.74</v>
      </c>
      <c r="V11" s="16">
        <f>F11+I11+L11+O11+R11</f>
        <v>690</v>
      </c>
    </row>
    <row r="12">
      <c r="A12" s="12" t="n">
        <v>6</v>
      </c>
      <c r="B12" s="27">
        <f>EDATE(Debts!$C$16,5)</f>
        <v>46478.0</v>
      </c>
      <c r="C12" s="12">
        <f>IF(T11&gt;0.005,1,0)</f>
        <v>1</v>
      </c>
      <c r="D12" s="16">
        <f>ROUND(MAX(0,(SUM(Debts!$D$20:$D$24)+N(Debts!$C$15))-(MIN(Debts!$D$20,G11+E12)+MIN(Debts!$D$21,J11+H12)+MIN(Debts!$D$22,M11+K12)+MIN(Debts!$D$23,P11+N12)+MIN(Debts!$D$24,S11+Q12))),2)*C12</f>
        <v>150</v>
      </c>
      <c r="E12" s="16">
        <f>ROUND(G11*Debts!$C$20/100/12,2)</f>
        <v>8.73</v>
      </c>
      <c r="F12" s="16">
        <f>MIN(G11+E12,Debts!$D$20+MAX(0,$D12-(0)))</f>
        <v>195</v>
      </c>
      <c r="G12" s="16">
        <f>ROUND(G11+E12-F12,2)</f>
        <v>202.09</v>
      </c>
      <c r="H12" s="16">
        <f>ROUND(J11*Debts!$C$21/100/12,2)</f>
        <v>18.72</v>
      </c>
      <c r="I12" s="16">
        <f>MIN(J11+H12,Debts!$D$21+MAX(0,$D12-((F12-MIN(Debts!$D$20,G11+E12)))))</f>
        <v>90</v>
      </c>
      <c r="J12" s="16">
        <f>ROUND(J11+H12-I12,2)</f>
        <v>1882.35</v>
      </c>
      <c r="K12" s="16">
        <f>ROUND(M11*Debts!$C$22/100/12,2)</f>
        <v>90.22</v>
      </c>
      <c r="L12" s="16">
        <f>MIN(M11+K12,Debts!$D$22+MAX(0,$D12-((F12-MIN(Debts!$D$20,G11+E12))+(I12-MIN(Debts!$D$21,J11+H12)))))</f>
        <v>120</v>
      </c>
      <c r="M12" s="16">
        <f>ROUND(M11+K12-L12,2)</f>
        <v>4679.52</v>
      </c>
      <c r="N12" s="16">
        <f>ROUND(P11*Debts!$C$23/100/12,2)</f>
        <v>44.44</v>
      </c>
      <c r="O12" s="16">
        <f>MIN(P11+N12,Debts!$D$23+MAX(0,$D12-((F12-MIN(Debts!$D$20,G11+E12))+(I12-MIN(Debts!$D$21,J11+H12))+(L12-MIN(Debts!$D$22,M11+K12)))))</f>
        <v>285</v>
      </c>
      <c r="P12" s="16">
        <f>ROUND(P11+N12-O12,2)</f>
        <v>7975.9</v>
      </c>
      <c r="Q12" s="16">
        <f>ROUND(S11*Debts!$C$24/100/12,2)</f>
        <v>0</v>
      </c>
      <c r="R12" s="16">
        <f>MIN(S11+Q12,Debts!$D$24+MAX(0,$D12-((F12-MIN(Debts!$D$20,G11+E12))+(I12-MIN(Debts!$D$21,J11+H12))+(L12-MIN(Debts!$D$22,M11+K12))+(O12-MIN(Debts!$D$23,P11+N12)))))</f>
        <v>0</v>
      </c>
      <c r="S12" s="16">
        <f>ROUND(S11+Q12-R12,2)</f>
        <v>0</v>
      </c>
      <c r="T12" s="28">
        <f>G12+J12+M12+P12+S12</f>
        <v>14739.86</v>
      </c>
      <c r="U12" s="16">
        <f>E12+H12+K12+N12+Q12</f>
        <v>162.11</v>
      </c>
      <c r="V12" s="16">
        <f>F12+I12+L12+O12+R12</f>
        <v>690</v>
      </c>
    </row>
    <row r="13">
      <c r="A13" s="12" t="n">
        <v>7</v>
      </c>
      <c r="B13" s="27">
        <f>EDATE(Debts!$C$16,6)</f>
        <v>46508.0</v>
      </c>
      <c r="C13" s="12">
        <f>IF(T12&gt;0.005,1,0)</f>
        <v>1</v>
      </c>
      <c r="D13" s="16">
        <f>ROUND(MAX(0,(SUM(Debts!$D$20:$D$24)+N(Debts!$C$15))-(MIN(Debts!$D$20,G12+E13)+MIN(Debts!$D$21,J12+H13)+MIN(Debts!$D$22,M12+K13)+MIN(Debts!$D$23,P12+N13)+MIN(Debts!$D$24,S12+Q13))),2)*C13</f>
        <v>150</v>
      </c>
      <c r="E13" s="16">
        <f>ROUND(G12*Debts!$C$20/100/12,2)</f>
        <v>4.55</v>
      </c>
      <c r="F13" s="16">
        <f>MIN(G12+E13,Debts!$D$20+MAX(0,$D13-(0)))</f>
        <v>195</v>
      </c>
      <c r="G13" s="16">
        <f>ROUND(G12+E13-F13,2)</f>
        <v>11.64</v>
      </c>
      <c r="H13" s="16">
        <f>ROUND(J12*Debts!$C$21/100/12,2)</f>
        <v>18.04</v>
      </c>
      <c r="I13" s="16">
        <f>MIN(J12+H13,Debts!$D$21+MAX(0,$D13-((F13-MIN(Debts!$D$20,G12+E13)))))</f>
        <v>90</v>
      </c>
      <c r="J13" s="16">
        <f>ROUND(J12+H13-I13,2)</f>
        <v>1810.39</v>
      </c>
      <c r="K13" s="16">
        <f>ROUND(M12*Debts!$C$22/100/12,2)</f>
        <v>89.65</v>
      </c>
      <c r="L13" s="16">
        <f>MIN(M12+K13,Debts!$D$22+MAX(0,$D13-((F13-MIN(Debts!$D$20,G12+E13))+(I13-MIN(Debts!$D$21,J12+H13)))))</f>
        <v>120</v>
      </c>
      <c r="M13" s="16">
        <f>ROUND(M12+K13-L13,2)</f>
        <v>4649.17</v>
      </c>
      <c r="N13" s="16">
        <f>ROUND(P12*Debts!$C$23/100/12,2)</f>
        <v>43.14</v>
      </c>
      <c r="O13" s="16">
        <f>MIN(P12+N13,Debts!$D$23+MAX(0,$D13-((F13-MIN(Debts!$D$20,G12+E13))+(I13-MIN(Debts!$D$21,J12+H13))+(L13-MIN(Debts!$D$22,M12+K13)))))</f>
        <v>285</v>
      </c>
      <c r="P13" s="16">
        <f>ROUND(P12+N13-O13,2)</f>
        <v>7734.04</v>
      </c>
      <c r="Q13" s="16">
        <f>ROUND(S12*Debts!$C$24/100/12,2)</f>
        <v>0</v>
      </c>
      <c r="R13" s="16">
        <f>MIN(S12+Q13,Debts!$D$24+MAX(0,$D13-((F13-MIN(Debts!$D$20,G12+E13))+(I13-MIN(Debts!$D$21,J12+H13))+(L13-MIN(Debts!$D$22,M12+K13))+(O13-MIN(Debts!$D$23,P12+N13)))))</f>
        <v>0</v>
      </c>
      <c r="S13" s="16">
        <f>ROUND(S12+Q13-R13,2)</f>
        <v>0</v>
      </c>
      <c r="T13" s="28">
        <f>G13+J13+M13+P13+S13</f>
        <v>14205.24</v>
      </c>
      <c r="U13" s="16">
        <f>E13+H13+K13+N13+Q13</f>
        <v>155.38</v>
      </c>
      <c r="V13" s="16">
        <f>F13+I13+L13+O13+R13</f>
        <v>690</v>
      </c>
    </row>
    <row r="14">
      <c r="A14" s="12" t="n">
        <v>8</v>
      </c>
      <c r="B14" s="27">
        <f>EDATE(Debts!$C$16,7)</f>
        <v>46539.0</v>
      </c>
      <c r="C14" s="12">
        <f>IF(T13&gt;0.005,1,0)</f>
        <v>1</v>
      </c>
      <c r="D14" s="16">
        <f>ROUND(MAX(0,(SUM(Debts!$D$20:$D$24)+N(Debts!$C$15))-(MIN(Debts!$D$20,G13+E14)+MIN(Debts!$D$21,J13+H14)+MIN(Debts!$D$22,M13+K14)+MIN(Debts!$D$23,P13+N14)+MIN(Debts!$D$24,S13+Q14))),2)*C14</f>
        <v>183.1</v>
      </c>
      <c r="E14" s="16">
        <f>ROUND(G13*Debts!$C$20/100/12,2)</f>
        <v>0.26</v>
      </c>
      <c r="F14" s="16">
        <f>MIN(G13+E14,Debts!$D$20+MAX(0,$D14-(0)))</f>
        <v>11.9</v>
      </c>
      <c r="G14" s="16">
        <f>ROUND(G13+E14-F14,2)</f>
        <v>0</v>
      </c>
      <c r="H14" s="16">
        <f>ROUND(J13*Debts!$C$21/100/12,2)</f>
        <v>17.35</v>
      </c>
      <c r="I14" s="16">
        <f>MIN(J13+H14,Debts!$D$21+MAX(0,$D14-((F14-MIN(Debts!$D$20,G13+E14)))))</f>
        <v>273.1</v>
      </c>
      <c r="J14" s="16">
        <f>ROUND(J13+H14-I14,2)</f>
        <v>1554.64</v>
      </c>
      <c r="K14" s="16">
        <f>ROUND(M13*Debts!$C$22/100/12,2)</f>
        <v>89.07</v>
      </c>
      <c r="L14" s="16">
        <f>MIN(M13+K14,Debts!$D$22+MAX(0,$D14-((F14-MIN(Debts!$D$20,G13+E14))+(I14-MIN(Debts!$D$21,J13+H14)))))</f>
        <v>120</v>
      </c>
      <c r="M14" s="16">
        <f>ROUND(M13+K14-L14,2)</f>
        <v>4618.24</v>
      </c>
      <c r="N14" s="16">
        <f>ROUND(P13*Debts!$C$23/100/12,2)</f>
        <v>41.83</v>
      </c>
      <c r="O14" s="16">
        <f>MIN(P13+N14,Debts!$D$23+MAX(0,$D14-((F14-MIN(Debts!$D$20,G13+E14))+(I14-MIN(Debts!$D$21,J13+H14))+(L14-MIN(Debts!$D$22,M13+K14)))))</f>
        <v>285</v>
      </c>
      <c r="P14" s="16">
        <f>ROUND(P13+N14-O14,2)</f>
        <v>7490.87</v>
      </c>
      <c r="Q14" s="16">
        <f>ROUND(S13*Debts!$C$24/100/12,2)</f>
        <v>0</v>
      </c>
      <c r="R14" s="16">
        <f>MIN(S13+Q14,Debts!$D$24+MAX(0,$D14-((F14-MIN(Debts!$D$20,G13+E14))+(I14-MIN(Debts!$D$21,J13+H14))+(L14-MIN(Debts!$D$22,M13+K14))+(O14-MIN(Debts!$D$23,P13+N14)))))</f>
        <v>0</v>
      </c>
      <c r="S14" s="16">
        <f>ROUND(S13+Q14-R14,2)</f>
        <v>0</v>
      </c>
      <c r="T14" s="28">
        <f>G14+J14+M14+P14+S14</f>
        <v>13663.75</v>
      </c>
      <c r="U14" s="16">
        <f>E14+H14+K14+N14+Q14</f>
        <v>148.51</v>
      </c>
      <c r="V14" s="16">
        <f>F14+I14+L14+O14+R14</f>
        <v>690</v>
      </c>
    </row>
    <row r="15">
      <c r="A15" s="12" t="n">
        <v>9</v>
      </c>
      <c r="B15" s="27">
        <f>EDATE(Debts!$C$16,8)</f>
        <v>46569.0</v>
      </c>
      <c r="C15" s="12">
        <f>IF(T14&gt;0.005,1,0)</f>
        <v>1</v>
      </c>
      <c r="D15" s="16">
        <f>ROUND(MAX(0,(SUM(Debts!$D$20:$D$24)+N(Debts!$C$15))-(MIN(Debts!$D$20,G14+E15)+MIN(Debts!$D$21,J14+H15)+MIN(Debts!$D$22,M14+K15)+MIN(Debts!$D$23,P14+N15)+MIN(Debts!$D$24,S14+Q15))),2)*C15</f>
        <v>195</v>
      </c>
      <c r="E15" s="16">
        <f>ROUND(G14*Debts!$C$20/100/12,2)</f>
        <v>0</v>
      </c>
      <c r="F15" s="16">
        <f>MIN(G14+E15,Debts!$D$20+MAX(0,$D15-(0)))</f>
        <v>0</v>
      </c>
      <c r="G15" s="16">
        <f>ROUND(G14+E15-F15,2)</f>
        <v>0</v>
      </c>
      <c r="H15" s="16">
        <f>ROUND(J14*Debts!$C$21/100/12,2)</f>
        <v>14.9</v>
      </c>
      <c r="I15" s="16">
        <f>MIN(J14+H15,Debts!$D$21+MAX(0,$D15-((F15-MIN(Debts!$D$20,G14+E15)))))</f>
        <v>285</v>
      </c>
      <c r="J15" s="16">
        <f>ROUND(J14+H15-I15,2)</f>
        <v>1284.54</v>
      </c>
      <c r="K15" s="16">
        <f>ROUND(M14*Debts!$C$22/100/12,2)</f>
        <v>88.48</v>
      </c>
      <c r="L15" s="16">
        <f>MIN(M14+K15,Debts!$D$22+MAX(0,$D15-((F15-MIN(Debts!$D$20,G14+E15))+(I15-MIN(Debts!$D$21,J14+H15)))))</f>
        <v>120</v>
      </c>
      <c r="M15" s="16">
        <f>ROUND(M14+K15-L15,2)</f>
        <v>4586.72</v>
      </c>
      <c r="N15" s="16">
        <f>ROUND(P14*Debts!$C$23/100/12,2)</f>
        <v>40.51</v>
      </c>
      <c r="O15" s="16">
        <f>MIN(P14+N15,Debts!$D$23+MAX(0,$D15-((F15-MIN(Debts!$D$20,G14+E15))+(I15-MIN(Debts!$D$21,J14+H15))+(L15-MIN(Debts!$D$22,M14+K15)))))</f>
        <v>285</v>
      </c>
      <c r="P15" s="16">
        <f>ROUND(P14+N15-O15,2)</f>
        <v>7246.38</v>
      </c>
      <c r="Q15" s="16">
        <f>ROUND(S14*Debts!$C$24/100/12,2)</f>
        <v>0</v>
      </c>
      <c r="R15" s="16">
        <f>MIN(S14+Q15,Debts!$D$24+MAX(0,$D15-((F15-MIN(Debts!$D$20,G14+E15))+(I15-MIN(Debts!$D$21,J14+H15))+(L15-MIN(Debts!$D$22,M14+K15))+(O15-MIN(Debts!$D$23,P14+N15)))))</f>
        <v>0</v>
      </c>
      <c r="S15" s="16">
        <f>ROUND(S14+Q15-R15,2)</f>
        <v>0</v>
      </c>
      <c r="T15" s="28">
        <f>G15+J15+M15+P15+S15</f>
        <v>13117.64</v>
      </c>
      <c r="U15" s="16">
        <f>E15+H15+K15+N15+Q15</f>
        <v>143.89</v>
      </c>
      <c r="V15" s="16">
        <f>F15+I15+L15+O15+R15</f>
        <v>690</v>
      </c>
    </row>
    <row r="16">
      <c r="A16" s="12" t="n">
        <v>10</v>
      </c>
      <c r="B16" s="27">
        <f>EDATE(Debts!$C$16,9)</f>
        <v>46600.0</v>
      </c>
      <c r="C16" s="12">
        <f>IF(T15&gt;0.005,1,0)</f>
        <v>1</v>
      </c>
      <c r="D16" s="16">
        <f>ROUND(MAX(0,(SUM(Debts!$D$20:$D$24)+N(Debts!$C$15))-(MIN(Debts!$D$20,G15+E16)+MIN(Debts!$D$21,J15+H16)+MIN(Debts!$D$22,M15+K16)+MIN(Debts!$D$23,P15+N16)+MIN(Debts!$D$24,S15+Q16))),2)*C16</f>
        <v>195</v>
      </c>
      <c r="E16" s="16">
        <f>ROUND(G15*Debts!$C$20/100/12,2)</f>
        <v>0</v>
      </c>
      <c r="F16" s="16">
        <f>MIN(G15+E16,Debts!$D$20+MAX(0,$D16-(0)))</f>
        <v>0</v>
      </c>
      <c r="G16" s="16">
        <f>ROUND(G15+E16-F16,2)</f>
        <v>0</v>
      </c>
      <c r="H16" s="16">
        <f>ROUND(J15*Debts!$C$21/100/12,2)</f>
        <v>12.31</v>
      </c>
      <c r="I16" s="16">
        <f>MIN(J15+H16,Debts!$D$21+MAX(0,$D16-((F16-MIN(Debts!$D$20,G15+E16)))))</f>
        <v>285</v>
      </c>
      <c r="J16" s="16">
        <f>ROUND(J15+H16-I16,2)</f>
        <v>1011.85</v>
      </c>
      <c r="K16" s="16">
        <f>ROUND(M15*Debts!$C$22/100/12,2)</f>
        <v>87.87</v>
      </c>
      <c r="L16" s="16">
        <f>MIN(M15+K16,Debts!$D$22+MAX(0,$D16-((F16-MIN(Debts!$D$20,G15+E16))+(I16-MIN(Debts!$D$21,J15+H16)))))</f>
        <v>120</v>
      </c>
      <c r="M16" s="16">
        <f>ROUND(M15+K16-L16,2)</f>
        <v>4554.59</v>
      </c>
      <c r="N16" s="16">
        <f>ROUND(P15*Debts!$C$23/100/12,2)</f>
        <v>39.19</v>
      </c>
      <c r="O16" s="16">
        <f>MIN(P15+N16,Debts!$D$23+MAX(0,$D16-((F16-MIN(Debts!$D$20,G15+E16))+(I16-MIN(Debts!$D$21,J15+H16))+(L16-MIN(Debts!$D$22,M15+K16)))))</f>
        <v>285</v>
      </c>
      <c r="P16" s="16">
        <f>ROUND(P15+N16-O16,2)</f>
        <v>7000.57</v>
      </c>
      <c r="Q16" s="16">
        <f>ROUND(S15*Debts!$C$24/100/12,2)</f>
        <v>0</v>
      </c>
      <c r="R16" s="16">
        <f>MIN(S15+Q16,Debts!$D$24+MAX(0,$D16-((F16-MIN(Debts!$D$20,G15+E16))+(I16-MIN(Debts!$D$21,J15+H16))+(L16-MIN(Debts!$D$22,M15+K16))+(O16-MIN(Debts!$D$23,P15+N16)))))</f>
        <v>0</v>
      </c>
      <c r="S16" s="16">
        <f>ROUND(S15+Q16-R16,2)</f>
        <v>0</v>
      </c>
      <c r="T16" s="28">
        <f>G16+J16+M16+P16+S16</f>
        <v>12567.01</v>
      </c>
      <c r="U16" s="16">
        <f>E16+H16+K16+N16+Q16</f>
        <v>139.37</v>
      </c>
      <c r="V16" s="16">
        <f>F16+I16+L16+O16+R16</f>
        <v>690</v>
      </c>
    </row>
    <row r="17">
      <c r="A17" s="12" t="n">
        <v>11</v>
      </c>
      <c r="B17" s="27">
        <f>EDATE(Debts!$C$16,10)</f>
        <v>46631.0</v>
      </c>
      <c r="C17" s="12">
        <f>IF(T16&gt;0.005,1,0)</f>
        <v>1</v>
      </c>
      <c r="D17" s="16">
        <f>ROUND(MAX(0,(SUM(Debts!$D$20:$D$24)+N(Debts!$C$15))-(MIN(Debts!$D$20,G16+E17)+MIN(Debts!$D$21,J16+H17)+MIN(Debts!$D$22,M16+K17)+MIN(Debts!$D$23,P16+N17)+MIN(Debts!$D$24,S16+Q17))),2)*C17</f>
        <v>195</v>
      </c>
      <c r="E17" s="16">
        <f>ROUND(G16*Debts!$C$20/100/12,2)</f>
        <v>0</v>
      </c>
      <c r="F17" s="16">
        <f>MIN(G16+E17,Debts!$D$20+MAX(0,$D17-(0)))</f>
        <v>0</v>
      </c>
      <c r="G17" s="16">
        <f>ROUND(G16+E17-F17,2)</f>
        <v>0</v>
      </c>
      <c r="H17" s="16">
        <f>ROUND(J16*Debts!$C$21/100/12,2)</f>
        <v>9.7</v>
      </c>
      <c r="I17" s="16">
        <f>MIN(J16+H17,Debts!$D$21+MAX(0,$D17-((F17-MIN(Debts!$D$20,G16+E17)))))</f>
        <v>285</v>
      </c>
      <c r="J17" s="16">
        <f>ROUND(J16+H17-I17,2)</f>
        <v>736.55</v>
      </c>
      <c r="K17" s="16">
        <f>ROUND(M16*Debts!$C$22/100/12,2)</f>
        <v>87.26</v>
      </c>
      <c r="L17" s="16">
        <f>MIN(M16+K17,Debts!$D$22+MAX(0,$D17-((F17-MIN(Debts!$D$20,G16+E17))+(I17-MIN(Debts!$D$21,J16+H17)))))</f>
        <v>120</v>
      </c>
      <c r="M17" s="16">
        <f>ROUND(M16+K17-L17,2)</f>
        <v>4521.85</v>
      </c>
      <c r="N17" s="16">
        <f>ROUND(P16*Debts!$C$23/100/12,2)</f>
        <v>37.86</v>
      </c>
      <c r="O17" s="16">
        <f>MIN(P16+N17,Debts!$D$23+MAX(0,$D17-((F17-MIN(Debts!$D$20,G16+E17))+(I17-MIN(Debts!$D$21,J16+H17))+(L17-MIN(Debts!$D$22,M16+K17)))))</f>
        <v>285</v>
      </c>
      <c r="P17" s="16">
        <f>ROUND(P16+N17-O17,2)</f>
        <v>6753.43</v>
      </c>
      <c r="Q17" s="16">
        <f>ROUND(S16*Debts!$C$24/100/12,2)</f>
        <v>0</v>
      </c>
      <c r="R17" s="16">
        <f>MIN(S16+Q17,Debts!$D$24+MAX(0,$D17-((F17-MIN(Debts!$D$20,G16+E17))+(I17-MIN(Debts!$D$21,J16+H17))+(L17-MIN(Debts!$D$22,M16+K17))+(O17-MIN(Debts!$D$23,P16+N17)))))</f>
        <v>0</v>
      </c>
      <c r="S17" s="16">
        <f>ROUND(S16+Q17-R17,2)</f>
        <v>0</v>
      </c>
      <c r="T17" s="28">
        <f>G17+J17+M17+P17+S17</f>
        <v>12011.83</v>
      </c>
      <c r="U17" s="16">
        <f>E17+H17+K17+N17+Q17</f>
        <v>134.82</v>
      </c>
      <c r="V17" s="16">
        <f>F17+I17+L17+O17+R17</f>
        <v>690</v>
      </c>
    </row>
    <row r="18">
      <c r="A18" s="12" t="n">
        <v>12</v>
      </c>
      <c r="B18" s="27">
        <f>EDATE(Debts!$C$16,11)</f>
        <v>46661.0</v>
      </c>
      <c r="C18" s="12">
        <f>IF(T17&gt;0.005,1,0)</f>
        <v>1</v>
      </c>
      <c r="D18" s="16">
        <f>ROUND(MAX(0,(SUM(Debts!$D$20:$D$24)+N(Debts!$C$15))-(MIN(Debts!$D$20,G17+E18)+MIN(Debts!$D$21,J17+H18)+MIN(Debts!$D$22,M17+K18)+MIN(Debts!$D$23,P17+N18)+MIN(Debts!$D$24,S17+Q18))),2)*C18</f>
        <v>195</v>
      </c>
      <c r="E18" s="16">
        <f>ROUND(G17*Debts!$C$20/100/12,2)</f>
        <v>0</v>
      </c>
      <c r="F18" s="16">
        <f>MIN(G17+E18,Debts!$D$20+MAX(0,$D18-(0)))</f>
        <v>0</v>
      </c>
      <c r="G18" s="16">
        <f>ROUND(G17+E18-F18,2)</f>
        <v>0</v>
      </c>
      <c r="H18" s="16">
        <f>ROUND(J17*Debts!$C$21/100/12,2)</f>
        <v>7.06</v>
      </c>
      <c r="I18" s="16">
        <f>MIN(J17+H18,Debts!$D$21+MAX(0,$D18-((F18-MIN(Debts!$D$20,G17+E18)))))</f>
        <v>285</v>
      </c>
      <c r="J18" s="16">
        <f>ROUND(J17+H18-I18,2)</f>
        <v>458.61</v>
      </c>
      <c r="K18" s="16">
        <f>ROUND(M17*Debts!$C$22/100/12,2)</f>
        <v>86.63</v>
      </c>
      <c r="L18" s="16">
        <f>MIN(M17+K18,Debts!$D$22+MAX(0,$D18-((F18-MIN(Debts!$D$20,G17+E18))+(I18-MIN(Debts!$D$21,J17+H18)))))</f>
        <v>120</v>
      </c>
      <c r="M18" s="16">
        <f>ROUND(M17+K18-L18,2)</f>
        <v>4488.48</v>
      </c>
      <c r="N18" s="16">
        <f>ROUND(P17*Debts!$C$23/100/12,2)</f>
        <v>36.52</v>
      </c>
      <c r="O18" s="16">
        <f>MIN(P17+N18,Debts!$D$23+MAX(0,$D18-((F18-MIN(Debts!$D$20,G17+E18))+(I18-MIN(Debts!$D$21,J17+H18))+(L18-MIN(Debts!$D$22,M17+K18)))))</f>
        <v>285</v>
      </c>
      <c r="P18" s="16">
        <f>ROUND(P17+N18-O18,2)</f>
        <v>6504.95</v>
      </c>
      <c r="Q18" s="16">
        <f>ROUND(S17*Debts!$C$24/100/12,2)</f>
        <v>0</v>
      </c>
      <c r="R18" s="16">
        <f>MIN(S17+Q18,Debts!$D$24+MAX(0,$D18-((F18-MIN(Debts!$D$20,G17+E18))+(I18-MIN(Debts!$D$21,J17+H18))+(L18-MIN(Debts!$D$22,M17+K18))+(O18-MIN(Debts!$D$23,P17+N18)))))</f>
        <v>0</v>
      </c>
      <c r="S18" s="16">
        <f>ROUND(S17+Q18-R18,2)</f>
        <v>0</v>
      </c>
      <c r="T18" s="28">
        <f>G18+J18+M18+P18+S18</f>
        <v>11452.04</v>
      </c>
      <c r="U18" s="16">
        <f>E18+H18+K18+N18+Q18</f>
        <v>130.21</v>
      </c>
      <c r="V18" s="16">
        <f>F18+I18+L18+O18+R18</f>
        <v>690</v>
      </c>
    </row>
    <row r="19">
      <c r="A19" s="12" t="n">
        <v>13</v>
      </c>
      <c r="B19" s="27">
        <f>EDATE(Debts!$C$16,12)</f>
        <v>46692.0</v>
      </c>
      <c r="C19" s="12">
        <f>IF(T18&gt;0.005,1,0)</f>
        <v>1</v>
      </c>
      <c r="D19" s="16">
        <f>ROUND(MAX(0,(SUM(Debts!$D$20:$D$24)+N(Debts!$C$15))-(MIN(Debts!$D$20,G18+E19)+MIN(Debts!$D$21,J18+H19)+MIN(Debts!$D$22,M18+K19)+MIN(Debts!$D$23,P18+N19)+MIN(Debts!$D$24,S18+Q19))),2)*C19</f>
        <v>195</v>
      </c>
      <c r="E19" s="16">
        <f>ROUND(G18*Debts!$C$20/100/12,2)</f>
        <v>0</v>
      </c>
      <c r="F19" s="16">
        <f>MIN(G18+E19,Debts!$D$20+MAX(0,$D19-(0)))</f>
        <v>0</v>
      </c>
      <c r="G19" s="16">
        <f>ROUND(G18+E19-F19,2)</f>
        <v>0</v>
      </c>
      <c r="H19" s="16">
        <f>ROUND(J18*Debts!$C$21/100/12,2)</f>
        <v>4.4</v>
      </c>
      <c r="I19" s="16">
        <f>MIN(J18+H19,Debts!$D$21+MAX(0,$D19-((F19-MIN(Debts!$D$20,G18+E19)))))</f>
        <v>285</v>
      </c>
      <c r="J19" s="16">
        <f>ROUND(J18+H19-I19,2)</f>
        <v>178.01</v>
      </c>
      <c r="K19" s="16">
        <f>ROUND(M18*Debts!$C$22/100/12,2)</f>
        <v>85.99</v>
      </c>
      <c r="L19" s="16">
        <f>MIN(M18+K19,Debts!$D$22+MAX(0,$D19-((F19-MIN(Debts!$D$20,G18+E19))+(I19-MIN(Debts!$D$21,J18+H19)))))</f>
        <v>120</v>
      </c>
      <c r="M19" s="16">
        <f>ROUND(M18+K19-L19,2)</f>
        <v>4454.47</v>
      </c>
      <c r="N19" s="16">
        <f>ROUND(P18*Debts!$C$23/100/12,2)</f>
        <v>35.18</v>
      </c>
      <c r="O19" s="16">
        <f>MIN(P18+N19,Debts!$D$23+MAX(0,$D19-((F19-MIN(Debts!$D$20,G18+E19))+(I19-MIN(Debts!$D$21,J18+H19))+(L19-MIN(Debts!$D$22,M18+K19)))))</f>
        <v>285</v>
      </c>
      <c r="P19" s="16">
        <f>ROUND(P18+N19-O19,2)</f>
        <v>6255.13</v>
      </c>
      <c r="Q19" s="16">
        <f>ROUND(S18*Debts!$C$24/100/12,2)</f>
        <v>0</v>
      </c>
      <c r="R19" s="16">
        <f>MIN(S18+Q19,Debts!$D$24+MAX(0,$D19-((F19-MIN(Debts!$D$20,G18+E19))+(I19-MIN(Debts!$D$21,J18+H19))+(L19-MIN(Debts!$D$22,M18+K19))+(O19-MIN(Debts!$D$23,P18+N19)))))</f>
        <v>0</v>
      </c>
      <c r="S19" s="16">
        <f>ROUND(S18+Q19-R19,2)</f>
        <v>0</v>
      </c>
      <c r="T19" s="28">
        <f>G19+J19+M19+P19+S19</f>
        <v>10887.61</v>
      </c>
      <c r="U19" s="16">
        <f>E19+H19+K19+N19+Q19</f>
        <v>125.57</v>
      </c>
      <c r="V19" s="16">
        <f>F19+I19+L19+O19+R19</f>
        <v>690</v>
      </c>
    </row>
    <row r="20">
      <c r="A20" s="12" t="n">
        <v>14</v>
      </c>
      <c r="B20" s="27">
        <f>EDATE(Debts!$C$16,13)</f>
        <v>46722.0</v>
      </c>
      <c r="C20" s="12">
        <f>IF(T19&gt;0.005,1,0)</f>
        <v>1</v>
      </c>
      <c r="D20" s="16">
        <f>ROUND(MAX(0,(SUM(Debts!$D$20:$D$24)+N(Debts!$C$15))-(MIN(Debts!$D$20,G19+E20)+MIN(Debts!$D$21,J19+H20)+MIN(Debts!$D$22,M19+K20)+MIN(Debts!$D$23,P19+N20)+MIN(Debts!$D$24,S19+Q20))),2)*C20</f>
        <v>195</v>
      </c>
      <c r="E20" s="16">
        <f>ROUND(G19*Debts!$C$20/100/12,2)</f>
        <v>0</v>
      </c>
      <c r="F20" s="16">
        <f>MIN(G19+E20,Debts!$D$20+MAX(0,$D20-(0)))</f>
        <v>0</v>
      </c>
      <c r="G20" s="16">
        <f>ROUND(G19+E20-F20,2)</f>
        <v>0</v>
      </c>
      <c r="H20" s="16">
        <f>ROUND(J19*Debts!$C$21/100/12,2)</f>
        <v>1.71</v>
      </c>
      <c r="I20" s="16">
        <f>MIN(J19+H20,Debts!$D$21+MAX(0,$D20-((F20-MIN(Debts!$D$20,G19+E20)))))</f>
        <v>179.72</v>
      </c>
      <c r="J20" s="16">
        <f>ROUND(J19+H20-I20,2)</f>
        <v>0</v>
      </c>
      <c r="K20" s="16">
        <f>ROUND(M19*Debts!$C$22/100/12,2)</f>
        <v>85.34</v>
      </c>
      <c r="L20" s="16">
        <f>MIN(M19+K20,Debts!$D$22+MAX(0,$D20-((F20-MIN(Debts!$D$20,G19+E20))+(I20-MIN(Debts!$D$21,J19+H20)))))</f>
        <v>225.28</v>
      </c>
      <c r="M20" s="16">
        <f>ROUND(M19+K20-L20,2)</f>
        <v>4314.53</v>
      </c>
      <c r="N20" s="16">
        <f>ROUND(P19*Debts!$C$23/100/12,2)</f>
        <v>33.83</v>
      </c>
      <c r="O20" s="16">
        <f>MIN(P19+N20,Debts!$D$23+MAX(0,$D20-((F20-MIN(Debts!$D$20,G19+E20))+(I20-MIN(Debts!$D$21,J19+H20))+(L20-MIN(Debts!$D$22,M19+K20)))))</f>
        <v>285</v>
      </c>
      <c r="P20" s="16">
        <f>ROUND(P19+N20-O20,2)</f>
        <v>6003.96</v>
      </c>
      <c r="Q20" s="16">
        <f>ROUND(S19*Debts!$C$24/100/12,2)</f>
        <v>0</v>
      </c>
      <c r="R20" s="16">
        <f>MIN(S19+Q20,Debts!$D$24+MAX(0,$D20-((F20-MIN(Debts!$D$20,G19+E20))+(I20-MIN(Debts!$D$21,J19+H20))+(L20-MIN(Debts!$D$22,M19+K20))+(O20-MIN(Debts!$D$23,P19+N20)))))</f>
        <v>0</v>
      </c>
      <c r="S20" s="16">
        <f>ROUND(S19+Q20-R20,2)</f>
        <v>0</v>
      </c>
      <c r="T20" s="28">
        <f>G20+J20+M20+P20+S20</f>
        <v>10318.49</v>
      </c>
      <c r="U20" s="16">
        <f>E20+H20+K20+N20+Q20</f>
        <v>120.88</v>
      </c>
      <c r="V20" s="16">
        <f>F20+I20+L20+O20+R20</f>
        <v>690</v>
      </c>
    </row>
    <row r="21">
      <c r="A21" s="12" t="n">
        <v>15</v>
      </c>
      <c r="B21" s="27">
        <f>EDATE(Debts!$C$16,14)</f>
        <v>46753.0</v>
      </c>
      <c r="C21" s="12">
        <f>IF(T20&gt;0.005,1,0)</f>
        <v>1</v>
      </c>
      <c r="D21" s="16">
        <f>ROUND(MAX(0,(SUM(Debts!$D$20:$D$24)+N(Debts!$C$15))-(MIN(Debts!$D$20,G20+E21)+MIN(Debts!$D$21,J20+H21)+MIN(Debts!$D$22,M20+K21)+MIN(Debts!$D$23,P20+N21)+MIN(Debts!$D$24,S20+Q21))),2)*C21</f>
        <v>285</v>
      </c>
      <c r="E21" s="16">
        <f>ROUND(G20*Debts!$C$20/100/12,2)</f>
        <v>0</v>
      </c>
      <c r="F21" s="16">
        <f>MIN(G20+E21,Debts!$D$20+MAX(0,$D21-(0)))</f>
        <v>0</v>
      </c>
      <c r="G21" s="16">
        <f>ROUND(G20+E21-F21,2)</f>
        <v>0</v>
      </c>
      <c r="H21" s="16">
        <f>ROUND(J20*Debts!$C$21/100/12,2)</f>
        <v>0</v>
      </c>
      <c r="I21" s="16">
        <f>MIN(J20+H21,Debts!$D$21+MAX(0,$D21-((F21-MIN(Debts!$D$20,G20+E21)))))</f>
        <v>0</v>
      </c>
      <c r="J21" s="16">
        <f>ROUND(J20+H21-I21,2)</f>
        <v>0</v>
      </c>
      <c r="K21" s="16">
        <f>ROUND(M20*Debts!$C$22/100/12,2)</f>
        <v>82.66</v>
      </c>
      <c r="L21" s="16">
        <f>MIN(M20+K21,Debts!$D$22+MAX(0,$D21-((F21-MIN(Debts!$D$20,G20+E21))+(I21-MIN(Debts!$D$21,J20+H21)))))</f>
        <v>405</v>
      </c>
      <c r="M21" s="16">
        <f>ROUND(M20+K21-L21,2)</f>
        <v>3992.19</v>
      </c>
      <c r="N21" s="16">
        <f>ROUND(P20*Debts!$C$23/100/12,2)</f>
        <v>32.47</v>
      </c>
      <c r="O21" s="16">
        <f>MIN(P20+N21,Debts!$D$23+MAX(0,$D21-((F21-MIN(Debts!$D$20,G20+E21))+(I21-MIN(Debts!$D$21,J20+H21))+(L21-MIN(Debts!$D$22,M20+K21)))))</f>
        <v>285</v>
      </c>
      <c r="P21" s="16">
        <f>ROUND(P20+N21-O21,2)</f>
        <v>5751.43</v>
      </c>
      <c r="Q21" s="16">
        <f>ROUND(S20*Debts!$C$24/100/12,2)</f>
        <v>0</v>
      </c>
      <c r="R21" s="16">
        <f>MIN(S20+Q21,Debts!$D$24+MAX(0,$D21-((F21-MIN(Debts!$D$20,G20+E21))+(I21-MIN(Debts!$D$21,J20+H21))+(L21-MIN(Debts!$D$22,M20+K21))+(O21-MIN(Debts!$D$23,P20+N21)))))</f>
        <v>0</v>
      </c>
      <c r="S21" s="16">
        <f>ROUND(S20+Q21-R21,2)</f>
        <v>0</v>
      </c>
      <c r="T21" s="28">
        <f>G21+J21+M21+P21+S21</f>
        <v>9743.62</v>
      </c>
      <c r="U21" s="16">
        <f>E21+H21+K21+N21+Q21</f>
        <v>115.13</v>
      </c>
      <c r="V21" s="16">
        <f>F21+I21+L21+O21+R21</f>
        <v>690</v>
      </c>
    </row>
    <row r="22">
      <c r="A22" s="12" t="n">
        <v>16</v>
      </c>
      <c r="B22" s="27">
        <f>EDATE(Debts!$C$16,15)</f>
        <v>46784.0</v>
      </c>
      <c r="C22" s="12">
        <f>IF(T21&gt;0.005,1,0)</f>
        <v>1</v>
      </c>
      <c r="D22" s="16">
        <f>ROUND(MAX(0,(SUM(Debts!$D$20:$D$24)+N(Debts!$C$15))-(MIN(Debts!$D$20,G21+E22)+MIN(Debts!$D$21,J21+H22)+MIN(Debts!$D$22,M21+K22)+MIN(Debts!$D$23,P21+N22)+MIN(Debts!$D$24,S21+Q22))),2)*C22</f>
        <v>285</v>
      </c>
      <c r="E22" s="16">
        <f>ROUND(G21*Debts!$C$20/100/12,2)</f>
        <v>0</v>
      </c>
      <c r="F22" s="16">
        <f>MIN(G21+E22,Debts!$D$20+MAX(0,$D22-(0)))</f>
        <v>0</v>
      </c>
      <c r="G22" s="16">
        <f>ROUND(G21+E22-F22,2)</f>
        <v>0</v>
      </c>
      <c r="H22" s="16">
        <f>ROUND(J21*Debts!$C$21/100/12,2)</f>
        <v>0</v>
      </c>
      <c r="I22" s="16">
        <f>MIN(J21+H22,Debts!$D$21+MAX(0,$D22-((F22-MIN(Debts!$D$20,G21+E22)))))</f>
        <v>0</v>
      </c>
      <c r="J22" s="16">
        <f>ROUND(J21+H22-I22,2)</f>
        <v>0</v>
      </c>
      <c r="K22" s="16">
        <f>ROUND(M21*Debts!$C$22/100/12,2)</f>
        <v>76.48</v>
      </c>
      <c r="L22" s="16">
        <f>MIN(M21+K22,Debts!$D$22+MAX(0,$D22-((F22-MIN(Debts!$D$20,G21+E22))+(I22-MIN(Debts!$D$21,J21+H22)))))</f>
        <v>405</v>
      </c>
      <c r="M22" s="16">
        <f>ROUND(M21+K22-L22,2)</f>
        <v>3663.67</v>
      </c>
      <c r="N22" s="16">
        <f>ROUND(P21*Debts!$C$23/100/12,2)</f>
        <v>31.11</v>
      </c>
      <c r="O22" s="16">
        <f>MIN(P21+N22,Debts!$D$23+MAX(0,$D22-((F22-MIN(Debts!$D$20,G21+E22))+(I22-MIN(Debts!$D$21,J21+H22))+(L22-MIN(Debts!$D$22,M21+K22)))))</f>
        <v>285</v>
      </c>
      <c r="P22" s="16">
        <f>ROUND(P21+N22-O22,2)</f>
        <v>5497.54</v>
      </c>
      <c r="Q22" s="16">
        <f>ROUND(S21*Debts!$C$24/100/12,2)</f>
        <v>0</v>
      </c>
      <c r="R22" s="16">
        <f>MIN(S21+Q22,Debts!$D$24+MAX(0,$D22-((F22-MIN(Debts!$D$20,G21+E22))+(I22-MIN(Debts!$D$21,J21+H22))+(L22-MIN(Debts!$D$22,M21+K22))+(O22-MIN(Debts!$D$23,P21+N22)))))</f>
        <v>0</v>
      </c>
      <c r="S22" s="16">
        <f>ROUND(S21+Q22-R22,2)</f>
        <v>0</v>
      </c>
      <c r="T22" s="28">
        <f>G22+J22+M22+P22+S22</f>
        <v>9161.21</v>
      </c>
      <c r="U22" s="16">
        <f>E22+H22+K22+N22+Q22</f>
        <v>107.59</v>
      </c>
      <c r="V22" s="16">
        <f>F22+I22+L22+O22+R22</f>
        <v>690</v>
      </c>
    </row>
    <row r="23">
      <c r="A23" s="12" t="n">
        <v>17</v>
      </c>
      <c r="B23" s="27">
        <f>EDATE(Debts!$C$16,16)</f>
        <v>46813.0</v>
      </c>
      <c r="C23" s="12">
        <f>IF(T22&gt;0.005,1,0)</f>
        <v>1</v>
      </c>
      <c r="D23" s="16">
        <f>ROUND(MAX(0,(SUM(Debts!$D$20:$D$24)+N(Debts!$C$15))-(MIN(Debts!$D$20,G22+E23)+MIN(Debts!$D$21,J22+H23)+MIN(Debts!$D$22,M22+K23)+MIN(Debts!$D$23,P22+N23)+MIN(Debts!$D$24,S22+Q23))),2)*C23</f>
        <v>285</v>
      </c>
      <c r="E23" s="16">
        <f>ROUND(G22*Debts!$C$20/100/12,2)</f>
        <v>0</v>
      </c>
      <c r="F23" s="16">
        <f>MIN(G22+E23,Debts!$D$20+MAX(0,$D23-(0)))</f>
        <v>0</v>
      </c>
      <c r="G23" s="16">
        <f>ROUND(G22+E23-F23,2)</f>
        <v>0</v>
      </c>
      <c r="H23" s="16">
        <f>ROUND(J22*Debts!$C$21/100/12,2)</f>
        <v>0</v>
      </c>
      <c r="I23" s="16">
        <f>MIN(J22+H23,Debts!$D$21+MAX(0,$D23-((F23-MIN(Debts!$D$20,G22+E23)))))</f>
        <v>0</v>
      </c>
      <c r="J23" s="16">
        <f>ROUND(J22+H23-I23,2)</f>
        <v>0</v>
      </c>
      <c r="K23" s="16">
        <f>ROUND(M22*Debts!$C$22/100/12,2)</f>
        <v>70.19</v>
      </c>
      <c r="L23" s="16">
        <f>MIN(M22+K23,Debts!$D$22+MAX(0,$D23-((F23-MIN(Debts!$D$20,G22+E23))+(I23-MIN(Debts!$D$21,J22+H23)))))</f>
        <v>405</v>
      </c>
      <c r="M23" s="16">
        <f>ROUND(M22+K23-L23,2)</f>
        <v>3328.86</v>
      </c>
      <c r="N23" s="16">
        <f>ROUND(P22*Debts!$C$23/100/12,2)</f>
        <v>29.73</v>
      </c>
      <c r="O23" s="16">
        <f>MIN(P22+N23,Debts!$D$23+MAX(0,$D23-((F23-MIN(Debts!$D$20,G22+E23))+(I23-MIN(Debts!$D$21,J22+H23))+(L23-MIN(Debts!$D$22,M22+K23)))))</f>
        <v>285</v>
      </c>
      <c r="P23" s="16">
        <f>ROUND(P22+N23-O23,2)</f>
        <v>5242.27</v>
      </c>
      <c r="Q23" s="16">
        <f>ROUND(S22*Debts!$C$24/100/12,2)</f>
        <v>0</v>
      </c>
      <c r="R23" s="16">
        <f>MIN(S22+Q23,Debts!$D$24+MAX(0,$D23-((F23-MIN(Debts!$D$20,G22+E23))+(I23-MIN(Debts!$D$21,J22+H23))+(L23-MIN(Debts!$D$22,M22+K23))+(O23-MIN(Debts!$D$23,P22+N23)))))</f>
        <v>0</v>
      </c>
      <c r="S23" s="16">
        <f>ROUND(S22+Q23-R23,2)</f>
        <v>0</v>
      </c>
      <c r="T23" s="28">
        <f>G23+J23+M23+P23+S23</f>
        <v>8571.13</v>
      </c>
      <c r="U23" s="16">
        <f>E23+H23+K23+N23+Q23</f>
        <v>99.92</v>
      </c>
      <c r="V23" s="16">
        <f>F23+I23+L23+O23+R23</f>
        <v>690</v>
      </c>
    </row>
    <row r="24">
      <c r="A24" s="12" t="n">
        <v>18</v>
      </c>
      <c r="B24" s="27">
        <f>EDATE(Debts!$C$16,17)</f>
        <v>46844.0</v>
      </c>
      <c r="C24" s="12">
        <f>IF(T23&gt;0.005,1,0)</f>
        <v>1</v>
      </c>
      <c r="D24" s="16">
        <f>ROUND(MAX(0,(SUM(Debts!$D$20:$D$24)+N(Debts!$C$15))-(MIN(Debts!$D$20,G23+E24)+MIN(Debts!$D$21,J23+H24)+MIN(Debts!$D$22,M23+K24)+MIN(Debts!$D$23,P23+N24)+MIN(Debts!$D$24,S23+Q24))),2)*C24</f>
        <v>285</v>
      </c>
      <c r="E24" s="16">
        <f>ROUND(G23*Debts!$C$20/100/12,2)</f>
        <v>0</v>
      </c>
      <c r="F24" s="16">
        <f>MIN(G23+E24,Debts!$D$20+MAX(0,$D24-(0)))</f>
        <v>0</v>
      </c>
      <c r="G24" s="16">
        <f>ROUND(G23+E24-F24,2)</f>
        <v>0</v>
      </c>
      <c r="H24" s="16">
        <f>ROUND(J23*Debts!$C$21/100/12,2)</f>
        <v>0</v>
      </c>
      <c r="I24" s="16">
        <f>MIN(J23+H24,Debts!$D$21+MAX(0,$D24-((F24-MIN(Debts!$D$20,G23+E24)))))</f>
        <v>0</v>
      </c>
      <c r="J24" s="16">
        <f>ROUND(J23+H24-I24,2)</f>
        <v>0</v>
      </c>
      <c r="K24" s="16">
        <f>ROUND(M23*Debts!$C$22/100/12,2)</f>
        <v>63.78</v>
      </c>
      <c r="L24" s="16">
        <f>MIN(M23+K24,Debts!$D$22+MAX(0,$D24-((F24-MIN(Debts!$D$20,G23+E24))+(I24-MIN(Debts!$D$21,J23+H24)))))</f>
        <v>405</v>
      </c>
      <c r="M24" s="16">
        <f>ROUND(M23+K24-L24,2)</f>
        <v>2987.64</v>
      </c>
      <c r="N24" s="16">
        <f>ROUND(P23*Debts!$C$23/100/12,2)</f>
        <v>28.35</v>
      </c>
      <c r="O24" s="16">
        <f>MIN(P23+N24,Debts!$D$23+MAX(0,$D24-((F24-MIN(Debts!$D$20,G23+E24))+(I24-MIN(Debts!$D$21,J23+H24))+(L24-MIN(Debts!$D$22,M23+K24)))))</f>
        <v>285</v>
      </c>
      <c r="P24" s="16">
        <f>ROUND(P23+N24-O24,2)</f>
        <v>4985.62</v>
      </c>
      <c r="Q24" s="16">
        <f>ROUND(S23*Debts!$C$24/100/12,2)</f>
        <v>0</v>
      </c>
      <c r="R24" s="16">
        <f>MIN(S23+Q24,Debts!$D$24+MAX(0,$D24-((F24-MIN(Debts!$D$20,G23+E24))+(I24-MIN(Debts!$D$21,J23+H24))+(L24-MIN(Debts!$D$22,M23+K24))+(O24-MIN(Debts!$D$23,P23+N24)))))</f>
        <v>0</v>
      </c>
      <c r="S24" s="16">
        <f>ROUND(S23+Q24-R24,2)</f>
        <v>0</v>
      </c>
      <c r="T24" s="28">
        <f>G24+J24+M24+P24+S24</f>
        <v>7973.26</v>
      </c>
      <c r="U24" s="16">
        <f>E24+H24+K24+N24+Q24</f>
        <v>92.13</v>
      </c>
      <c r="V24" s="16">
        <f>F24+I24+L24+O24+R24</f>
        <v>690</v>
      </c>
    </row>
    <row r="25">
      <c r="A25" s="12" t="n">
        <v>19</v>
      </c>
      <c r="B25" s="27">
        <f>EDATE(Debts!$C$16,18)</f>
        <v>46874.0</v>
      </c>
      <c r="C25" s="12">
        <f>IF(T24&gt;0.005,1,0)</f>
        <v>1</v>
      </c>
      <c r="D25" s="16">
        <f>ROUND(MAX(0,(SUM(Debts!$D$20:$D$24)+N(Debts!$C$15))-(MIN(Debts!$D$20,G24+E25)+MIN(Debts!$D$21,J24+H25)+MIN(Debts!$D$22,M24+K25)+MIN(Debts!$D$23,P24+N25)+MIN(Debts!$D$24,S24+Q25))),2)*C25</f>
        <v>285</v>
      </c>
      <c r="E25" s="16">
        <f>ROUND(G24*Debts!$C$20/100/12,2)</f>
        <v>0</v>
      </c>
      <c r="F25" s="16">
        <f>MIN(G24+E25,Debts!$D$20+MAX(0,$D25-(0)))</f>
        <v>0</v>
      </c>
      <c r="G25" s="16">
        <f>ROUND(G24+E25-F25,2)</f>
        <v>0</v>
      </c>
      <c r="H25" s="16">
        <f>ROUND(J24*Debts!$C$21/100/12,2)</f>
        <v>0</v>
      </c>
      <c r="I25" s="16">
        <f>MIN(J24+H25,Debts!$D$21+MAX(0,$D25-((F25-MIN(Debts!$D$20,G24+E25)))))</f>
        <v>0</v>
      </c>
      <c r="J25" s="16">
        <f>ROUND(J24+H25-I25,2)</f>
        <v>0</v>
      </c>
      <c r="K25" s="16">
        <f>ROUND(M24*Debts!$C$22/100/12,2)</f>
        <v>57.24</v>
      </c>
      <c r="L25" s="16">
        <f>MIN(M24+K25,Debts!$D$22+MAX(0,$D25-((F25-MIN(Debts!$D$20,G24+E25))+(I25-MIN(Debts!$D$21,J24+H25)))))</f>
        <v>405</v>
      </c>
      <c r="M25" s="16">
        <f>ROUND(M24+K25-L25,2)</f>
        <v>2639.88</v>
      </c>
      <c r="N25" s="16">
        <f>ROUND(P24*Debts!$C$23/100/12,2)</f>
        <v>26.96</v>
      </c>
      <c r="O25" s="16">
        <f>MIN(P24+N25,Debts!$D$23+MAX(0,$D25-((F25-MIN(Debts!$D$20,G24+E25))+(I25-MIN(Debts!$D$21,J24+H25))+(L25-MIN(Debts!$D$22,M24+K25)))))</f>
        <v>285</v>
      </c>
      <c r="P25" s="16">
        <f>ROUND(P24+N25-O25,2)</f>
        <v>4727.58</v>
      </c>
      <c r="Q25" s="16">
        <f>ROUND(S24*Debts!$C$24/100/12,2)</f>
        <v>0</v>
      </c>
      <c r="R25" s="16">
        <f>MIN(S24+Q25,Debts!$D$24+MAX(0,$D25-((F25-MIN(Debts!$D$20,G24+E25))+(I25-MIN(Debts!$D$21,J24+H25))+(L25-MIN(Debts!$D$22,M24+K25))+(O25-MIN(Debts!$D$23,P24+N25)))))</f>
        <v>0</v>
      </c>
      <c r="S25" s="16">
        <f>ROUND(S24+Q25-R25,2)</f>
        <v>0</v>
      </c>
      <c r="T25" s="28">
        <f>G25+J25+M25+P25+S25</f>
        <v>7367.46</v>
      </c>
      <c r="U25" s="16">
        <f>E25+H25+K25+N25+Q25</f>
        <v>84.2</v>
      </c>
      <c r="V25" s="16">
        <f>F25+I25+L25+O25+R25</f>
        <v>690</v>
      </c>
    </row>
    <row r="26">
      <c r="A26" s="12" t="n">
        <v>20</v>
      </c>
      <c r="B26" s="27">
        <f>EDATE(Debts!$C$16,19)</f>
        <v>46905.0</v>
      </c>
      <c r="C26" s="12">
        <f>IF(T25&gt;0.005,1,0)</f>
        <v>1</v>
      </c>
      <c r="D26" s="16">
        <f>ROUND(MAX(0,(SUM(Debts!$D$20:$D$24)+N(Debts!$C$15))-(MIN(Debts!$D$20,G25+E26)+MIN(Debts!$D$21,J25+H26)+MIN(Debts!$D$22,M25+K26)+MIN(Debts!$D$23,P25+N26)+MIN(Debts!$D$24,S25+Q26))),2)*C26</f>
        <v>285</v>
      </c>
      <c r="E26" s="16">
        <f>ROUND(G25*Debts!$C$20/100/12,2)</f>
        <v>0</v>
      </c>
      <c r="F26" s="16">
        <f>MIN(G25+E26,Debts!$D$20+MAX(0,$D26-(0)))</f>
        <v>0</v>
      </c>
      <c r="G26" s="16">
        <f>ROUND(G25+E26-F26,2)</f>
        <v>0</v>
      </c>
      <c r="H26" s="16">
        <f>ROUND(J25*Debts!$C$21/100/12,2)</f>
        <v>0</v>
      </c>
      <c r="I26" s="16">
        <f>MIN(J25+H26,Debts!$D$21+MAX(0,$D26-((F26-MIN(Debts!$D$20,G25+E26)))))</f>
        <v>0</v>
      </c>
      <c r="J26" s="16">
        <f>ROUND(J25+H26-I26,2)</f>
        <v>0</v>
      </c>
      <c r="K26" s="16">
        <f>ROUND(M25*Debts!$C$22/100/12,2)</f>
        <v>50.58</v>
      </c>
      <c r="L26" s="16">
        <f>MIN(M25+K26,Debts!$D$22+MAX(0,$D26-((F26-MIN(Debts!$D$20,G25+E26))+(I26-MIN(Debts!$D$21,J25+H26)))))</f>
        <v>405</v>
      </c>
      <c r="M26" s="16">
        <f>ROUND(M25+K26-L26,2)</f>
        <v>2285.46</v>
      </c>
      <c r="N26" s="16">
        <f>ROUND(P25*Debts!$C$23/100/12,2)</f>
        <v>25.57</v>
      </c>
      <c r="O26" s="16">
        <f>MIN(P25+N26,Debts!$D$23+MAX(0,$D26-((F26-MIN(Debts!$D$20,G25+E26))+(I26-MIN(Debts!$D$21,J25+H26))+(L26-MIN(Debts!$D$22,M25+K26)))))</f>
        <v>285</v>
      </c>
      <c r="P26" s="16">
        <f>ROUND(P25+N26-O26,2)</f>
        <v>4468.15</v>
      </c>
      <c r="Q26" s="16">
        <f>ROUND(S25*Debts!$C$24/100/12,2)</f>
        <v>0</v>
      </c>
      <c r="R26" s="16">
        <f>MIN(S25+Q26,Debts!$D$24+MAX(0,$D26-((F26-MIN(Debts!$D$20,G25+E26))+(I26-MIN(Debts!$D$21,J25+H26))+(L26-MIN(Debts!$D$22,M25+K26))+(O26-MIN(Debts!$D$23,P25+N26)))))</f>
        <v>0</v>
      </c>
      <c r="S26" s="16">
        <f>ROUND(S25+Q26-R26,2)</f>
        <v>0</v>
      </c>
      <c r="T26" s="28">
        <f>G26+J26+M26+P26+S26</f>
        <v>6753.61</v>
      </c>
      <c r="U26" s="16">
        <f>E26+H26+K26+N26+Q26</f>
        <v>76.15</v>
      </c>
      <c r="V26" s="16">
        <f>F26+I26+L26+O26+R26</f>
        <v>690</v>
      </c>
    </row>
    <row r="27">
      <c r="A27" s="12" t="n">
        <v>21</v>
      </c>
      <c r="B27" s="27">
        <f>EDATE(Debts!$C$16,20)</f>
        <v>46935.0</v>
      </c>
      <c r="C27" s="12">
        <f>IF(T26&gt;0.005,1,0)</f>
        <v>1</v>
      </c>
      <c r="D27" s="16">
        <f>ROUND(MAX(0,(SUM(Debts!$D$20:$D$24)+N(Debts!$C$15))-(MIN(Debts!$D$20,G26+E27)+MIN(Debts!$D$21,J26+H27)+MIN(Debts!$D$22,M26+K27)+MIN(Debts!$D$23,P26+N27)+MIN(Debts!$D$24,S26+Q27))),2)*C27</f>
        <v>285</v>
      </c>
      <c r="E27" s="16">
        <f>ROUND(G26*Debts!$C$20/100/12,2)</f>
        <v>0</v>
      </c>
      <c r="F27" s="16">
        <f>MIN(G26+E27,Debts!$D$20+MAX(0,$D27-(0)))</f>
        <v>0</v>
      </c>
      <c r="G27" s="16">
        <f>ROUND(G26+E27-F27,2)</f>
        <v>0</v>
      </c>
      <c r="H27" s="16">
        <f>ROUND(J26*Debts!$C$21/100/12,2)</f>
        <v>0</v>
      </c>
      <c r="I27" s="16">
        <f>MIN(J26+H27,Debts!$D$21+MAX(0,$D27-((F27-MIN(Debts!$D$20,G26+E27)))))</f>
        <v>0</v>
      </c>
      <c r="J27" s="16">
        <f>ROUND(J26+H27-I27,2)</f>
        <v>0</v>
      </c>
      <c r="K27" s="16">
        <f>ROUND(M26*Debts!$C$22/100/12,2)</f>
        <v>43.79</v>
      </c>
      <c r="L27" s="16">
        <f>MIN(M26+K27,Debts!$D$22+MAX(0,$D27-((F27-MIN(Debts!$D$20,G26+E27))+(I27-MIN(Debts!$D$21,J26+H27)))))</f>
        <v>405</v>
      </c>
      <c r="M27" s="16">
        <f>ROUND(M26+K27-L27,2)</f>
        <v>1924.25</v>
      </c>
      <c r="N27" s="16">
        <f>ROUND(P26*Debts!$C$23/100/12,2)</f>
        <v>24.17</v>
      </c>
      <c r="O27" s="16">
        <f>MIN(P26+N27,Debts!$D$23+MAX(0,$D27-((F27-MIN(Debts!$D$20,G26+E27))+(I27-MIN(Debts!$D$21,J26+H27))+(L27-MIN(Debts!$D$22,M26+K27)))))</f>
        <v>285</v>
      </c>
      <c r="P27" s="16">
        <f>ROUND(P26+N27-O27,2)</f>
        <v>4207.32</v>
      </c>
      <c r="Q27" s="16">
        <f>ROUND(S26*Debts!$C$24/100/12,2)</f>
        <v>0</v>
      </c>
      <c r="R27" s="16">
        <f>MIN(S26+Q27,Debts!$D$24+MAX(0,$D27-((F27-MIN(Debts!$D$20,G26+E27))+(I27-MIN(Debts!$D$21,J26+H27))+(L27-MIN(Debts!$D$22,M26+K27))+(O27-MIN(Debts!$D$23,P26+N27)))))</f>
        <v>0</v>
      </c>
      <c r="S27" s="16">
        <f>ROUND(S26+Q27-R27,2)</f>
        <v>0</v>
      </c>
      <c r="T27" s="28">
        <f>G27+J27+M27+P27+S27</f>
        <v>6131.57</v>
      </c>
      <c r="U27" s="16">
        <f>E27+H27+K27+N27+Q27</f>
        <v>67.96</v>
      </c>
      <c r="V27" s="16">
        <f>F27+I27+L27+O27+R27</f>
        <v>690</v>
      </c>
    </row>
    <row r="28">
      <c r="A28" s="12" t="n">
        <v>22</v>
      </c>
      <c r="B28" s="27">
        <f>EDATE(Debts!$C$16,21)</f>
        <v>46966.0</v>
      </c>
      <c r="C28" s="12">
        <f>IF(T27&gt;0.005,1,0)</f>
        <v>1</v>
      </c>
      <c r="D28" s="16">
        <f>ROUND(MAX(0,(SUM(Debts!$D$20:$D$24)+N(Debts!$C$15))-(MIN(Debts!$D$20,G27+E28)+MIN(Debts!$D$21,J27+H28)+MIN(Debts!$D$22,M27+K28)+MIN(Debts!$D$23,P27+N28)+MIN(Debts!$D$24,S27+Q28))),2)*C28</f>
        <v>285</v>
      </c>
      <c r="E28" s="16">
        <f>ROUND(G27*Debts!$C$20/100/12,2)</f>
        <v>0</v>
      </c>
      <c r="F28" s="16">
        <f>MIN(G27+E28,Debts!$D$20+MAX(0,$D28-(0)))</f>
        <v>0</v>
      </c>
      <c r="G28" s="16">
        <f>ROUND(G27+E28-F28,2)</f>
        <v>0</v>
      </c>
      <c r="H28" s="16">
        <f>ROUND(J27*Debts!$C$21/100/12,2)</f>
        <v>0</v>
      </c>
      <c r="I28" s="16">
        <f>MIN(J27+H28,Debts!$D$21+MAX(0,$D28-((F28-MIN(Debts!$D$20,G27+E28)))))</f>
        <v>0</v>
      </c>
      <c r="J28" s="16">
        <f>ROUND(J27+H28-I28,2)</f>
        <v>0</v>
      </c>
      <c r="K28" s="16">
        <f>ROUND(M27*Debts!$C$22/100/12,2)</f>
        <v>36.87</v>
      </c>
      <c r="L28" s="16">
        <f>MIN(M27+K28,Debts!$D$22+MAX(0,$D28-((F28-MIN(Debts!$D$20,G27+E28))+(I28-MIN(Debts!$D$21,J27+H28)))))</f>
        <v>405</v>
      </c>
      <c r="M28" s="16">
        <f>ROUND(M27+K28-L28,2)</f>
        <v>1556.12</v>
      </c>
      <c r="N28" s="16">
        <f>ROUND(P27*Debts!$C$23/100/12,2)</f>
        <v>22.75</v>
      </c>
      <c r="O28" s="16">
        <f>MIN(P27+N28,Debts!$D$23+MAX(0,$D28-((F28-MIN(Debts!$D$20,G27+E28))+(I28-MIN(Debts!$D$21,J27+H28))+(L28-MIN(Debts!$D$22,M27+K28)))))</f>
        <v>285</v>
      </c>
      <c r="P28" s="16">
        <f>ROUND(P27+N28-O28,2)</f>
        <v>3945.07</v>
      </c>
      <c r="Q28" s="16">
        <f>ROUND(S27*Debts!$C$24/100/12,2)</f>
        <v>0</v>
      </c>
      <c r="R28" s="16">
        <f>MIN(S27+Q28,Debts!$D$24+MAX(0,$D28-((F28-MIN(Debts!$D$20,G27+E28))+(I28-MIN(Debts!$D$21,J27+H28))+(L28-MIN(Debts!$D$22,M27+K28))+(O28-MIN(Debts!$D$23,P27+N28)))))</f>
        <v>0</v>
      </c>
      <c r="S28" s="16">
        <f>ROUND(S27+Q28-R28,2)</f>
        <v>0</v>
      </c>
      <c r="T28" s="28">
        <f>G28+J28+M28+P28+S28</f>
        <v>5501.19</v>
      </c>
      <c r="U28" s="16">
        <f>E28+H28+K28+N28+Q28</f>
        <v>59.62</v>
      </c>
      <c r="V28" s="16">
        <f>F28+I28+L28+O28+R28</f>
        <v>690</v>
      </c>
    </row>
    <row r="29">
      <c r="A29" s="12" t="n">
        <v>23</v>
      </c>
      <c r="B29" s="27">
        <f>EDATE(Debts!$C$16,22)</f>
        <v>46997.0</v>
      </c>
      <c r="C29" s="12">
        <f>IF(T28&gt;0.005,1,0)</f>
        <v>1</v>
      </c>
      <c r="D29" s="16">
        <f>ROUND(MAX(0,(SUM(Debts!$D$20:$D$24)+N(Debts!$C$15))-(MIN(Debts!$D$20,G28+E29)+MIN(Debts!$D$21,J28+H29)+MIN(Debts!$D$22,M28+K29)+MIN(Debts!$D$23,P28+N29)+MIN(Debts!$D$24,S28+Q29))),2)*C29</f>
        <v>285</v>
      </c>
      <c r="E29" s="16">
        <f>ROUND(G28*Debts!$C$20/100/12,2)</f>
        <v>0</v>
      </c>
      <c r="F29" s="16">
        <f>MIN(G28+E29,Debts!$D$20+MAX(0,$D29-(0)))</f>
        <v>0</v>
      </c>
      <c r="G29" s="16">
        <f>ROUND(G28+E29-F29,2)</f>
        <v>0</v>
      </c>
      <c r="H29" s="16">
        <f>ROUND(J28*Debts!$C$21/100/12,2)</f>
        <v>0</v>
      </c>
      <c r="I29" s="16">
        <f>MIN(J28+H29,Debts!$D$21+MAX(0,$D29-((F29-MIN(Debts!$D$20,G28+E29)))))</f>
        <v>0</v>
      </c>
      <c r="J29" s="16">
        <f>ROUND(J28+H29-I29,2)</f>
        <v>0</v>
      </c>
      <c r="K29" s="16">
        <f>ROUND(M28*Debts!$C$22/100/12,2)</f>
        <v>29.81</v>
      </c>
      <c r="L29" s="16">
        <f>MIN(M28+K29,Debts!$D$22+MAX(0,$D29-((F29-MIN(Debts!$D$20,G28+E29))+(I29-MIN(Debts!$D$21,J28+H29)))))</f>
        <v>405</v>
      </c>
      <c r="M29" s="16">
        <f>ROUND(M28+K29-L29,2)</f>
        <v>1180.93</v>
      </c>
      <c r="N29" s="16">
        <f>ROUND(P28*Debts!$C$23/100/12,2)</f>
        <v>21.34</v>
      </c>
      <c r="O29" s="16">
        <f>MIN(P28+N29,Debts!$D$23+MAX(0,$D29-((F29-MIN(Debts!$D$20,G28+E29))+(I29-MIN(Debts!$D$21,J28+H29))+(L29-MIN(Debts!$D$22,M28+K29)))))</f>
        <v>285</v>
      </c>
      <c r="P29" s="16">
        <f>ROUND(P28+N29-O29,2)</f>
        <v>3681.41</v>
      </c>
      <c r="Q29" s="16">
        <f>ROUND(S28*Debts!$C$24/100/12,2)</f>
        <v>0</v>
      </c>
      <c r="R29" s="16">
        <f>MIN(S28+Q29,Debts!$D$24+MAX(0,$D29-((F29-MIN(Debts!$D$20,G28+E29))+(I29-MIN(Debts!$D$21,J28+H29))+(L29-MIN(Debts!$D$22,M28+K29))+(O29-MIN(Debts!$D$23,P28+N29)))))</f>
        <v>0</v>
      </c>
      <c r="S29" s="16">
        <f>ROUND(S28+Q29-R29,2)</f>
        <v>0</v>
      </c>
      <c r="T29" s="28">
        <f>G29+J29+M29+P29+S29</f>
        <v>4862.34</v>
      </c>
      <c r="U29" s="16">
        <f>E29+H29+K29+N29+Q29</f>
        <v>51.15</v>
      </c>
      <c r="V29" s="16">
        <f>F29+I29+L29+O29+R29</f>
        <v>690</v>
      </c>
    </row>
    <row r="30">
      <c r="A30" s="12" t="n">
        <v>24</v>
      </c>
      <c r="B30" s="27">
        <f>EDATE(Debts!$C$16,23)</f>
        <v>47027.0</v>
      </c>
      <c r="C30" s="12">
        <f>IF(T29&gt;0.005,1,0)</f>
        <v>1</v>
      </c>
      <c r="D30" s="16">
        <f>ROUND(MAX(0,(SUM(Debts!$D$20:$D$24)+N(Debts!$C$15))-(MIN(Debts!$D$20,G29+E30)+MIN(Debts!$D$21,J29+H30)+MIN(Debts!$D$22,M29+K30)+MIN(Debts!$D$23,P29+N30)+MIN(Debts!$D$24,S29+Q30))),2)*C30</f>
        <v>285</v>
      </c>
      <c r="E30" s="16">
        <f>ROUND(G29*Debts!$C$20/100/12,2)</f>
        <v>0</v>
      </c>
      <c r="F30" s="16">
        <f>MIN(G29+E30,Debts!$D$20+MAX(0,$D30-(0)))</f>
        <v>0</v>
      </c>
      <c r="G30" s="16">
        <f>ROUND(G29+E30-F30,2)</f>
        <v>0</v>
      </c>
      <c r="H30" s="16">
        <f>ROUND(J29*Debts!$C$21/100/12,2)</f>
        <v>0</v>
      </c>
      <c r="I30" s="16">
        <f>MIN(J29+H30,Debts!$D$21+MAX(0,$D30-((F30-MIN(Debts!$D$20,G29+E30)))))</f>
        <v>0</v>
      </c>
      <c r="J30" s="16">
        <f>ROUND(J29+H30-I30,2)</f>
        <v>0</v>
      </c>
      <c r="K30" s="16">
        <f>ROUND(M29*Debts!$C$22/100/12,2)</f>
        <v>22.62</v>
      </c>
      <c r="L30" s="16">
        <f>MIN(M29+K30,Debts!$D$22+MAX(0,$D30-((F30-MIN(Debts!$D$20,G29+E30))+(I30-MIN(Debts!$D$21,J29+H30)))))</f>
        <v>405</v>
      </c>
      <c r="M30" s="16">
        <f>ROUND(M29+K30-L30,2)</f>
        <v>798.55</v>
      </c>
      <c r="N30" s="16">
        <f>ROUND(P29*Debts!$C$23/100/12,2)</f>
        <v>19.91</v>
      </c>
      <c r="O30" s="16">
        <f>MIN(P29+N30,Debts!$D$23+MAX(0,$D30-((F30-MIN(Debts!$D$20,G29+E30))+(I30-MIN(Debts!$D$21,J29+H30))+(L30-MIN(Debts!$D$22,M29+K30)))))</f>
        <v>285</v>
      </c>
      <c r="P30" s="16">
        <f>ROUND(P29+N30-O30,2)</f>
        <v>3416.32</v>
      </c>
      <c r="Q30" s="16">
        <f>ROUND(S29*Debts!$C$24/100/12,2)</f>
        <v>0</v>
      </c>
      <c r="R30" s="16">
        <f>MIN(S29+Q30,Debts!$D$24+MAX(0,$D30-((F30-MIN(Debts!$D$20,G29+E30))+(I30-MIN(Debts!$D$21,J29+H30))+(L30-MIN(Debts!$D$22,M29+K30))+(O30-MIN(Debts!$D$23,P29+N30)))))</f>
        <v>0</v>
      </c>
      <c r="S30" s="16">
        <f>ROUND(S29+Q30-R30,2)</f>
        <v>0</v>
      </c>
      <c r="T30" s="28">
        <f>G30+J30+M30+P30+S30</f>
        <v>4214.87</v>
      </c>
      <c r="U30" s="16">
        <f>E30+H30+K30+N30+Q30</f>
        <v>42.53</v>
      </c>
      <c r="V30" s="16">
        <f>F30+I30+L30+O30+R30</f>
        <v>690</v>
      </c>
    </row>
    <row r="31">
      <c r="A31" s="12" t="n">
        <v>25</v>
      </c>
      <c r="B31" s="27">
        <f>EDATE(Debts!$C$16,24)</f>
        <v>47058.0</v>
      </c>
      <c r="C31" s="12">
        <f>IF(T30&gt;0.005,1,0)</f>
        <v>1</v>
      </c>
      <c r="D31" s="16">
        <f>ROUND(MAX(0,(SUM(Debts!$D$20:$D$24)+N(Debts!$C$15))-(MIN(Debts!$D$20,G30+E31)+MIN(Debts!$D$21,J30+H31)+MIN(Debts!$D$22,M30+K31)+MIN(Debts!$D$23,P30+N31)+MIN(Debts!$D$24,S30+Q31))),2)*C31</f>
        <v>285</v>
      </c>
      <c r="E31" s="16">
        <f>ROUND(G30*Debts!$C$20/100/12,2)</f>
        <v>0</v>
      </c>
      <c r="F31" s="16">
        <f>MIN(G30+E31,Debts!$D$20+MAX(0,$D31-(0)))</f>
        <v>0</v>
      </c>
      <c r="G31" s="16">
        <f>ROUND(G30+E31-F31,2)</f>
        <v>0</v>
      </c>
      <c r="H31" s="16">
        <f>ROUND(J30*Debts!$C$21/100/12,2)</f>
        <v>0</v>
      </c>
      <c r="I31" s="16">
        <f>MIN(J30+H31,Debts!$D$21+MAX(0,$D31-((F31-MIN(Debts!$D$20,G30+E31)))))</f>
        <v>0</v>
      </c>
      <c r="J31" s="16">
        <f>ROUND(J30+H31-I31,2)</f>
        <v>0</v>
      </c>
      <c r="K31" s="16">
        <f>ROUND(M30*Debts!$C$22/100/12,2)</f>
        <v>15.3</v>
      </c>
      <c r="L31" s="16">
        <f>MIN(M30+K31,Debts!$D$22+MAX(0,$D31-((F31-MIN(Debts!$D$20,G30+E31))+(I31-MIN(Debts!$D$21,J30+H31)))))</f>
        <v>405</v>
      </c>
      <c r="M31" s="16">
        <f>ROUND(M30+K31-L31,2)</f>
        <v>408.85</v>
      </c>
      <c r="N31" s="16">
        <f>ROUND(P30*Debts!$C$23/100/12,2)</f>
        <v>18.48</v>
      </c>
      <c r="O31" s="16">
        <f>MIN(P30+N31,Debts!$D$23+MAX(0,$D31-((F31-MIN(Debts!$D$20,G30+E31))+(I31-MIN(Debts!$D$21,J30+H31))+(L31-MIN(Debts!$D$22,M30+K31)))))</f>
        <v>285</v>
      </c>
      <c r="P31" s="16">
        <f>ROUND(P30+N31-O31,2)</f>
        <v>3149.8</v>
      </c>
      <c r="Q31" s="16">
        <f>ROUND(S30*Debts!$C$24/100/12,2)</f>
        <v>0</v>
      </c>
      <c r="R31" s="16">
        <f>MIN(S30+Q31,Debts!$D$24+MAX(0,$D31-((F31-MIN(Debts!$D$20,G30+E31))+(I31-MIN(Debts!$D$21,J30+H31))+(L31-MIN(Debts!$D$22,M30+K31))+(O31-MIN(Debts!$D$23,P30+N31)))))</f>
        <v>0</v>
      </c>
      <c r="S31" s="16">
        <f>ROUND(S30+Q31-R31,2)</f>
        <v>0</v>
      </c>
      <c r="T31" s="28">
        <f>G31+J31+M31+P31+S31</f>
        <v>3558.65</v>
      </c>
      <c r="U31" s="16">
        <f>E31+H31+K31+N31+Q31</f>
        <v>33.78</v>
      </c>
      <c r="V31" s="16">
        <f>F31+I31+L31+O31+R31</f>
        <v>690</v>
      </c>
    </row>
    <row r="32">
      <c r="A32" s="12" t="n">
        <v>26</v>
      </c>
      <c r="B32" s="27">
        <f>EDATE(Debts!$C$16,25)</f>
        <v>47088.0</v>
      </c>
      <c r="C32" s="12">
        <f>IF(T31&gt;0.005,1,0)</f>
        <v>1</v>
      </c>
      <c r="D32" s="16">
        <f>ROUND(MAX(0,(SUM(Debts!$D$20:$D$24)+N(Debts!$C$15))-(MIN(Debts!$D$20,G31+E32)+MIN(Debts!$D$21,J31+H32)+MIN(Debts!$D$22,M31+K32)+MIN(Debts!$D$23,P31+N32)+MIN(Debts!$D$24,S31+Q32))),2)*C32</f>
        <v>285</v>
      </c>
      <c r="E32" s="16">
        <f>ROUND(G31*Debts!$C$20/100/12,2)</f>
        <v>0</v>
      </c>
      <c r="F32" s="16">
        <f>MIN(G31+E32,Debts!$D$20+MAX(0,$D32-(0)))</f>
        <v>0</v>
      </c>
      <c r="G32" s="16">
        <f>ROUND(G31+E32-F32,2)</f>
        <v>0</v>
      </c>
      <c r="H32" s="16">
        <f>ROUND(J31*Debts!$C$21/100/12,2)</f>
        <v>0</v>
      </c>
      <c r="I32" s="16">
        <f>MIN(J31+H32,Debts!$D$21+MAX(0,$D32-((F32-MIN(Debts!$D$20,G31+E32)))))</f>
        <v>0</v>
      </c>
      <c r="J32" s="16">
        <f>ROUND(J31+H32-I32,2)</f>
        <v>0</v>
      </c>
      <c r="K32" s="16">
        <f>ROUND(M31*Debts!$C$22/100/12,2)</f>
        <v>7.83</v>
      </c>
      <c r="L32" s="16">
        <f>MIN(M31+K32,Debts!$D$22+MAX(0,$D32-((F32-MIN(Debts!$D$20,G31+E32))+(I32-MIN(Debts!$D$21,J31+H32)))))</f>
        <v>405</v>
      </c>
      <c r="M32" s="16">
        <f>ROUND(M31+K32-L32,2)</f>
        <v>11.68</v>
      </c>
      <c r="N32" s="16">
        <f>ROUND(P31*Debts!$C$23/100/12,2)</f>
        <v>17.04</v>
      </c>
      <c r="O32" s="16">
        <f>MIN(P31+N32,Debts!$D$23+MAX(0,$D32-((F32-MIN(Debts!$D$20,G31+E32))+(I32-MIN(Debts!$D$21,J31+H32))+(L32-MIN(Debts!$D$22,M31+K32)))))</f>
        <v>285</v>
      </c>
      <c r="P32" s="16">
        <f>ROUND(P31+N32-O32,2)</f>
        <v>2881.84</v>
      </c>
      <c r="Q32" s="16">
        <f>ROUND(S31*Debts!$C$24/100/12,2)</f>
        <v>0</v>
      </c>
      <c r="R32" s="16">
        <f>MIN(S31+Q32,Debts!$D$24+MAX(0,$D32-((F32-MIN(Debts!$D$20,G31+E32))+(I32-MIN(Debts!$D$21,J31+H32))+(L32-MIN(Debts!$D$22,M31+K32))+(O32-MIN(Debts!$D$23,P31+N32)))))</f>
        <v>0</v>
      </c>
      <c r="S32" s="16">
        <f>ROUND(S31+Q32-R32,2)</f>
        <v>0</v>
      </c>
      <c r="T32" s="28">
        <f>G32+J32+M32+P32+S32</f>
        <v>2893.52</v>
      </c>
      <c r="U32" s="16">
        <f>E32+H32+K32+N32+Q32</f>
        <v>24.87</v>
      </c>
      <c r="V32" s="16">
        <f>F32+I32+L32+O32+R32</f>
        <v>690</v>
      </c>
    </row>
    <row r="33">
      <c r="A33" s="12" t="n">
        <v>27</v>
      </c>
      <c r="B33" s="27">
        <f>EDATE(Debts!$C$16,26)</f>
        <v>47119.0</v>
      </c>
      <c r="C33" s="12">
        <f>IF(T32&gt;0.005,1,0)</f>
        <v>1</v>
      </c>
      <c r="D33" s="16">
        <f>ROUND(MAX(0,(SUM(Debts!$D$20:$D$24)+N(Debts!$C$15))-(MIN(Debts!$D$20,G32+E33)+MIN(Debts!$D$21,J32+H33)+MIN(Debts!$D$22,M32+K33)+MIN(Debts!$D$23,P32+N33)+MIN(Debts!$D$24,S32+Q33))),2)*C33</f>
        <v>393.1</v>
      </c>
      <c r="E33" s="16">
        <f>ROUND(G32*Debts!$C$20/100/12,2)</f>
        <v>0</v>
      </c>
      <c r="F33" s="16">
        <f>MIN(G32+E33,Debts!$D$20+MAX(0,$D33-(0)))</f>
        <v>0</v>
      </c>
      <c r="G33" s="16">
        <f>ROUND(G32+E33-F33,2)</f>
        <v>0</v>
      </c>
      <c r="H33" s="16">
        <f>ROUND(J32*Debts!$C$21/100/12,2)</f>
        <v>0</v>
      </c>
      <c r="I33" s="16">
        <f>MIN(J32+H33,Debts!$D$21+MAX(0,$D33-((F33-MIN(Debts!$D$20,G32+E33)))))</f>
        <v>0</v>
      </c>
      <c r="J33" s="16">
        <f>ROUND(J32+H33-I33,2)</f>
        <v>0</v>
      </c>
      <c r="K33" s="16">
        <f>ROUND(M32*Debts!$C$22/100/12,2)</f>
        <v>0.22</v>
      </c>
      <c r="L33" s="16">
        <f>MIN(M32+K33,Debts!$D$22+MAX(0,$D33-((F33-MIN(Debts!$D$20,G32+E33))+(I33-MIN(Debts!$D$21,J32+H33)))))</f>
        <v>11.9</v>
      </c>
      <c r="M33" s="16">
        <f>ROUND(M32+K33-L33,2)</f>
        <v>0</v>
      </c>
      <c r="N33" s="16">
        <f>ROUND(P32*Debts!$C$23/100/12,2)</f>
        <v>15.59</v>
      </c>
      <c r="O33" s="16">
        <f>MIN(P32+N33,Debts!$D$23+MAX(0,$D33-((F33-MIN(Debts!$D$20,G32+E33))+(I33-MIN(Debts!$D$21,J32+H33))+(L33-MIN(Debts!$D$22,M32+K33)))))</f>
        <v>678.1</v>
      </c>
      <c r="P33" s="16">
        <f>ROUND(P32+N33-O33,2)</f>
        <v>2219.33</v>
      </c>
      <c r="Q33" s="16">
        <f>ROUND(S32*Debts!$C$24/100/12,2)</f>
        <v>0</v>
      </c>
      <c r="R33" s="16">
        <f>MIN(S32+Q33,Debts!$D$24+MAX(0,$D33-((F33-MIN(Debts!$D$20,G32+E33))+(I33-MIN(Debts!$D$21,J32+H33))+(L33-MIN(Debts!$D$22,M32+K33))+(O33-MIN(Debts!$D$23,P32+N33)))))</f>
        <v>0</v>
      </c>
      <c r="S33" s="16">
        <f>ROUND(S32+Q33-R33,2)</f>
        <v>0</v>
      </c>
      <c r="T33" s="28">
        <f>G33+J33+M33+P33+S33</f>
        <v>2219.33</v>
      </c>
      <c r="U33" s="16">
        <f>E33+H33+K33+N33+Q33</f>
        <v>15.81</v>
      </c>
      <c r="V33" s="16">
        <f>F33+I33+L33+O33+R33</f>
        <v>690</v>
      </c>
    </row>
    <row r="34">
      <c r="A34" s="12" t="n">
        <v>28</v>
      </c>
      <c r="B34" s="27">
        <f>EDATE(Debts!$C$16,27)</f>
        <v>47150.0</v>
      </c>
      <c r="C34" s="12">
        <f>IF(T33&gt;0.005,1,0)</f>
        <v>1</v>
      </c>
      <c r="D34" s="16">
        <f>ROUND(MAX(0,(SUM(Debts!$D$20:$D$24)+N(Debts!$C$15))-(MIN(Debts!$D$20,G33+E34)+MIN(Debts!$D$21,J33+H34)+MIN(Debts!$D$22,M33+K34)+MIN(Debts!$D$23,P33+N34)+MIN(Debts!$D$24,S33+Q34))),2)*C34</f>
        <v>405</v>
      </c>
      <c r="E34" s="16">
        <f>ROUND(G33*Debts!$C$20/100/12,2)</f>
        <v>0</v>
      </c>
      <c r="F34" s="16">
        <f>MIN(G33+E34,Debts!$D$20+MAX(0,$D34-(0)))</f>
        <v>0</v>
      </c>
      <c r="G34" s="16">
        <f>ROUND(G33+E34-F34,2)</f>
        <v>0</v>
      </c>
      <c r="H34" s="16">
        <f>ROUND(J33*Debts!$C$21/100/12,2)</f>
        <v>0</v>
      </c>
      <c r="I34" s="16">
        <f>MIN(J33+H34,Debts!$D$21+MAX(0,$D34-((F34-MIN(Debts!$D$20,G33+E34)))))</f>
        <v>0</v>
      </c>
      <c r="J34" s="16">
        <f>ROUND(J33+H34-I34,2)</f>
        <v>0</v>
      </c>
      <c r="K34" s="16">
        <f>ROUND(M33*Debts!$C$22/100/12,2)</f>
        <v>0</v>
      </c>
      <c r="L34" s="16">
        <f>MIN(M33+K34,Debts!$D$22+MAX(0,$D34-((F34-MIN(Debts!$D$20,G33+E34))+(I34-MIN(Debts!$D$21,J33+H34)))))</f>
        <v>0</v>
      </c>
      <c r="M34" s="16">
        <f>ROUND(M33+K34-L34,2)</f>
        <v>0</v>
      </c>
      <c r="N34" s="16">
        <f>ROUND(P33*Debts!$C$23/100/12,2)</f>
        <v>12</v>
      </c>
      <c r="O34" s="16">
        <f>MIN(P33+N34,Debts!$D$23+MAX(0,$D34-((F34-MIN(Debts!$D$20,G33+E34))+(I34-MIN(Debts!$D$21,J33+H34))+(L34-MIN(Debts!$D$22,M33+K34)))))</f>
        <v>690</v>
      </c>
      <c r="P34" s="16">
        <f>ROUND(P33+N34-O34,2)</f>
        <v>1541.33</v>
      </c>
      <c r="Q34" s="16">
        <f>ROUND(S33*Debts!$C$24/100/12,2)</f>
        <v>0</v>
      </c>
      <c r="R34" s="16">
        <f>MIN(S33+Q34,Debts!$D$24+MAX(0,$D34-((F34-MIN(Debts!$D$20,G33+E34))+(I34-MIN(Debts!$D$21,J33+H34))+(L34-MIN(Debts!$D$22,M33+K34))+(O34-MIN(Debts!$D$23,P33+N34)))))</f>
        <v>0</v>
      </c>
      <c r="S34" s="16">
        <f>ROUND(S33+Q34-R34,2)</f>
        <v>0</v>
      </c>
      <c r="T34" s="28">
        <f>G34+J34+M34+P34+S34</f>
        <v>1541.33</v>
      </c>
      <c r="U34" s="16">
        <f>E34+H34+K34+N34+Q34</f>
        <v>12</v>
      </c>
      <c r="V34" s="16">
        <f>F34+I34+L34+O34+R34</f>
        <v>690</v>
      </c>
    </row>
    <row r="35">
      <c r="A35" s="12" t="n">
        <v>29</v>
      </c>
      <c r="B35" s="27">
        <f>EDATE(Debts!$C$16,28)</f>
        <v>47178.0</v>
      </c>
      <c r="C35" s="12">
        <f>IF(T34&gt;0.005,1,0)</f>
        <v>1</v>
      </c>
      <c r="D35" s="16">
        <f>ROUND(MAX(0,(SUM(Debts!$D$20:$D$24)+N(Debts!$C$15))-(MIN(Debts!$D$20,G34+E35)+MIN(Debts!$D$21,J34+H35)+MIN(Debts!$D$22,M34+K35)+MIN(Debts!$D$23,P34+N35)+MIN(Debts!$D$24,S34+Q35))),2)*C35</f>
        <v>405</v>
      </c>
      <c r="E35" s="16">
        <f>ROUND(G34*Debts!$C$20/100/12,2)</f>
        <v>0</v>
      </c>
      <c r="F35" s="16">
        <f>MIN(G34+E35,Debts!$D$20+MAX(0,$D35-(0)))</f>
        <v>0</v>
      </c>
      <c r="G35" s="16">
        <f>ROUND(G34+E35-F35,2)</f>
        <v>0</v>
      </c>
      <c r="H35" s="16">
        <f>ROUND(J34*Debts!$C$21/100/12,2)</f>
        <v>0</v>
      </c>
      <c r="I35" s="16">
        <f>MIN(J34+H35,Debts!$D$21+MAX(0,$D35-((F35-MIN(Debts!$D$20,G34+E35)))))</f>
        <v>0</v>
      </c>
      <c r="J35" s="16">
        <f>ROUND(J34+H35-I35,2)</f>
        <v>0</v>
      </c>
      <c r="K35" s="16">
        <f>ROUND(M34*Debts!$C$22/100/12,2)</f>
        <v>0</v>
      </c>
      <c r="L35" s="16">
        <f>MIN(M34+K35,Debts!$D$22+MAX(0,$D35-((F35-MIN(Debts!$D$20,G34+E35))+(I35-MIN(Debts!$D$21,J34+H35)))))</f>
        <v>0</v>
      </c>
      <c r="M35" s="16">
        <f>ROUND(M34+K35-L35,2)</f>
        <v>0</v>
      </c>
      <c r="N35" s="16">
        <f>ROUND(P34*Debts!$C$23/100/12,2)</f>
        <v>8.34</v>
      </c>
      <c r="O35" s="16">
        <f>MIN(P34+N35,Debts!$D$23+MAX(0,$D35-((F35-MIN(Debts!$D$20,G34+E35))+(I35-MIN(Debts!$D$21,J34+H35))+(L35-MIN(Debts!$D$22,M34+K35)))))</f>
        <v>690</v>
      </c>
      <c r="P35" s="16">
        <f>ROUND(P34+N35-O35,2)</f>
        <v>859.67</v>
      </c>
      <c r="Q35" s="16">
        <f>ROUND(S34*Debts!$C$24/100/12,2)</f>
        <v>0</v>
      </c>
      <c r="R35" s="16">
        <f>MIN(S34+Q35,Debts!$D$24+MAX(0,$D35-((F35-MIN(Debts!$D$20,G34+E35))+(I35-MIN(Debts!$D$21,J34+H35))+(L35-MIN(Debts!$D$22,M34+K35))+(O35-MIN(Debts!$D$23,P34+N35)))))</f>
        <v>0</v>
      </c>
      <c r="S35" s="16">
        <f>ROUND(S34+Q35-R35,2)</f>
        <v>0</v>
      </c>
      <c r="T35" s="28">
        <f>G35+J35+M35+P35+S35</f>
        <v>859.67</v>
      </c>
      <c r="U35" s="16">
        <f>E35+H35+K35+N35+Q35</f>
        <v>8.34</v>
      </c>
      <c r="V35" s="16">
        <f>F35+I35+L35+O35+R35</f>
        <v>690</v>
      </c>
    </row>
    <row r="36">
      <c r="A36" s="12" t="n">
        <v>30</v>
      </c>
      <c r="B36" s="27">
        <f>EDATE(Debts!$C$16,29)</f>
        <v>47209.0</v>
      </c>
      <c r="C36" s="12">
        <f>IF(T35&gt;0.005,1,0)</f>
        <v>1</v>
      </c>
      <c r="D36" s="16">
        <f>ROUND(MAX(0,(SUM(Debts!$D$20:$D$24)+N(Debts!$C$15))-(MIN(Debts!$D$20,G35+E36)+MIN(Debts!$D$21,J35+H36)+MIN(Debts!$D$22,M35+K36)+MIN(Debts!$D$23,P35+N36)+MIN(Debts!$D$24,S35+Q36))),2)*C36</f>
        <v>405</v>
      </c>
      <c r="E36" s="16">
        <f>ROUND(G35*Debts!$C$20/100/12,2)</f>
        <v>0</v>
      </c>
      <c r="F36" s="16">
        <f>MIN(G35+E36,Debts!$D$20+MAX(0,$D36-(0)))</f>
        <v>0</v>
      </c>
      <c r="G36" s="16">
        <f>ROUND(G35+E36-F36,2)</f>
        <v>0</v>
      </c>
      <c r="H36" s="16">
        <f>ROUND(J35*Debts!$C$21/100/12,2)</f>
        <v>0</v>
      </c>
      <c r="I36" s="16">
        <f>MIN(J35+H36,Debts!$D$21+MAX(0,$D36-((F36-MIN(Debts!$D$20,G35+E36)))))</f>
        <v>0</v>
      </c>
      <c r="J36" s="16">
        <f>ROUND(J35+H36-I36,2)</f>
        <v>0</v>
      </c>
      <c r="K36" s="16">
        <f>ROUND(M35*Debts!$C$22/100/12,2)</f>
        <v>0</v>
      </c>
      <c r="L36" s="16">
        <f>MIN(M35+K36,Debts!$D$22+MAX(0,$D36-((F36-MIN(Debts!$D$20,G35+E36))+(I36-MIN(Debts!$D$21,J35+H36)))))</f>
        <v>0</v>
      </c>
      <c r="M36" s="16">
        <f>ROUND(M35+K36-L36,2)</f>
        <v>0</v>
      </c>
      <c r="N36" s="16">
        <f>ROUND(P35*Debts!$C$23/100/12,2)</f>
        <v>4.65</v>
      </c>
      <c r="O36" s="16">
        <f>MIN(P35+N36,Debts!$D$23+MAX(0,$D36-((F36-MIN(Debts!$D$20,G35+E36))+(I36-MIN(Debts!$D$21,J35+H36))+(L36-MIN(Debts!$D$22,M35+K36)))))</f>
        <v>690</v>
      </c>
      <c r="P36" s="16">
        <f>ROUND(P35+N36-O36,2)</f>
        <v>174.32</v>
      </c>
      <c r="Q36" s="16">
        <f>ROUND(S35*Debts!$C$24/100/12,2)</f>
        <v>0</v>
      </c>
      <c r="R36" s="16">
        <f>MIN(S35+Q36,Debts!$D$24+MAX(0,$D36-((F36-MIN(Debts!$D$20,G35+E36))+(I36-MIN(Debts!$D$21,J35+H36))+(L36-MIN(Debts!$D$22,M35+K36))+(O36-MIN(Debts!$D$23,P35+N36)))))</f>
        <v>0</v>
      </c>
      <c r="S36" s="16">
        <f>ROUND(S35+Q36-R36,2)</f>
        <v>0</v>
      </c>
      <c r="T36" s="28">
        <f>G36+J36+M36+P36+S36</f>
        <v>174.32</v>
      </c>
      <c r="U36" s="16">
        <f>E36+H36+K36+N36+Q36</f>
        <v>4.65</v>
      </c>
      <c r="V36" s="16">
        <f>F36+I36+L36+O36+R36</f>
        <v>690</v>
      </c>
    </row>
    <row r="37">
      <c r="A37" s="12" t="n">
        <v>31</v>
      </c>
      <c r="B37" s="27">
        <f>EDATE(Debts!$C$16,30)</f>
        <v>47239.0</v>
      </c>
      <c r="C37" s="12">
        <f>IF(T36&gt;0.005,1,0)</f>
        <v>1</v>
      </c>
      <c r="D37" s="16">
        <f>ROUND(MAX(0,(SUM(Debts!$D$20:$D$24)+N(Debts!$C$15))-(MIN(Debts!$D$20,G36+E37)+MIN(Debts!$D$21,J36+H37)+MIN(Debts!$D$22,M36+K37)+MIN(Debts!$D$23,P36+N37)+MIN(Debts!$D$24,S36+Q37))),2)*C37</f>
        <v>514.74</v>
      </c>
      <c r="E37" s="16">
        <f>ROUND(G36*Debts!$C$20/100/12,2)</f>
        <v>0</v>
      </c>
      <c r="F37" s="16">
        <f>MIN(G36+E37,Debts!$D$20+MAX(0,$D37-(0)))</f>
        <v>0</v>
      </c>
      <c r="G37" s="16">
        <f>ROUND(G36+E37-F37,2)</f>
        <v>0</v>
      </c>
      <c r="H37" s="16">
        <f>ROUND(J36*Debts!$C$21/100/12,2)</f>
        <v>0</v>
      </c>
      <c r="I37" s="16">
        <f>MIN(J36+H37,Debts!$D$21+MAX(0,$D37-((F37-MIN(Debts!$D$20,G36+E37)))))</f>
        <v>0</v>
      </c>
      <c r="J37" s="16">
        <f>ROUND(J36+H37-I37,2)</f>
        <v>0</v>
      </c>
      <c r="K37" s="16">
        <f>ROUND(M36*Debts!$C$22/100/12,2)</f>
        <v>0</v>
      </c>
      <c r="L37" s="16">
        <f>MIN(M36+K37,Debts!$D$22+MAX(0,$D37-((F37-MIN(Debts!$D$20,G36+E37))+(I37-MIN(Debts!$D$21,J36+H37)))))</f>
        <v>0</v>
      </c>
      <c r="M37" s="16">
        <f>ROUND(M36+K37-L37,2)</f>
        <v>0</v>
      </c>
      <c r="N37" s="16">
        <f>ROUND(P36*Debts!$C$23/100/12,2)</f>
        <v>0.94</v>
      </c>
      <c r="O37" s="16">
        <f>MIN(P36+N37,Debts!$D$23+MAX(0,$D37-((F37-MIN(Debts!$D$20,G36+E37))+(I37-MIN(Debts!$D$21,J36+H37))+(L37-MIN(Debts!$D$22,M36+K37)))))</f>
        <v>175.26</v>
      </c>
      <c r="P37" s="16">
        <f>ROUND(P36+N37-O37,2)</f>
        <v>0</v>
      </c>
      <c r="Q37" s="16">
        <f>ROUND(S36*Debts!$C$24/100/12,2)</f>
        <v>0</v>
      </c>
      <c r="R37" s="16">
        <f>MIN(S36+Q37,Debts!$D$24+MAX(0,$D37-((F37-MIN(Debts!$D$20,G36+E37))+(I37-MIN(Debts!$D$21,J36+H37))+(L37-MIN(Debts!$D$22,M36+K37))+(O37-MIN(Debts!$D$23,P36+N37)))))</f>
        <v>0</v>
      </c>
      <c r="S37" s="16">
        <f>ROUND(S36+Q37-R37,2)</f>
        <v>0</v>
      </c>
      <c r="T37" s="28">
        <f>G37+J37+M37+P37+S37</f>
        <v>0</v>
      </c>
      <c r="U37" s="16">
        <f>E37+H37+K37+N37+Q37</f>
        <v>0.94</v>
      </c>
      <c r="V37" s="16">
        <f>F37+I37+L37+O37+R37</f>
        <v>175.26</v>
      </c>
    </row>
    <row r="38">
      <c r="A38" s="12" t="n">
        <v>32</v>
      </c>
      <c r="B38" s="27">
        <f>EDATE(Debts!$C$16,31)</f>
        <v>47270.0</v>
      </c>
      <c r="C38" s="12">
        <f>IF(T37&gt;0.005,1,0)</f>
        <v>0</v>
      </c>
      <c r="D38" s="16">
        <f>ROUND(MAX(0,(SUM(Debts!$D$20:$D$24)+N(Debts!$C$15))-(MIN(Debts!$D$20,G37+E38)+MIN(Debts!$D$21,J37+H38)+MIN(Debts!$D$22,M37+K38)+MIN(Debts!$D$23,P37+N38)+MIN(Debts!$D$24,S37+Q38))),2)*C38</f>
        <v>0</v>
      </c>
      <c r="E38" s="16">
        <f>ROUND(G37*Debts!$C$20/100/12,2)</f>
        <v>0</v>
      </c>
      <c r="F38" s="16">
        <f>MIN(G37+E38,Debts!$D$20+MAX(0,$D38-(0)))</f>
        <v>0</v>
      </c>
      <c r="G38" s="16">
        <f>ROUND(G37+E38-F38,2)</f>
        <v>0</v>
      </c>
      <c r="H38" s="16">
        <f>ROUND(J37*Debts!$C$21/100/12,2)</f>
        <v>0</v>
      </c>
      <c r="I38" s="16">
        <f>MIN(J37+H38,Debts!$D$21+MAX(0,$D38-((F38-MIN(Debts!$D$20,G37+E38)))))</f>
        <v>0</v>
      </c>
      <c r="J38" s="16">
        <f>ROUND(J37+H38-I38,2)</f>
        <v>0</v>
      </c>
      <c r="K38" s="16">
        <f>ROUND(M37*Debts!$C$22/100/12,2)</f>
        <v>0</v>
      </c>
      <c r="L38" s="16">
        <f>MIN(M37+K38,Debts!$D$22+MAX(0,$D38-((F38-MIN(Debts!$D$20,G37+E38))+(I38-MIN(Debts!$D$21,J37+H38)))))</f>
        <v>0</v>
      </c>
      <c r="M38" s="16">
        <f>ROUND(M37+K38-L38,2)</f>
        <v>0</v>
      </c>
      <c r="N38" s="16">
        <f>ROUND(P37*Debts!$C$23/100/12,2)</f>
        <v>0</v>
      </c>
      <c r="O38" s="16">
        <f>MIN(P37+N38,Debts!$D$23+MAX(0,$D38-((F38-MIN(Debts!$D$20,G37+E38))+(I38-MIN(Debts!$D$21,J37+H38))+(L38-MIN(Debts!$D$22,M37+K38)))))</f>
        <v>0</v>
      </c>
      <c r="P38" s="16">
        <f>ROUND(P37+N38-O38,2)</f>
        <v>0</v>
      </c>
      <c r="Q38" s="16">
        <f>ROUND(S37*Debts!$C$24/100/12,2)</f>
        <v>0</v>
      </c>
      <c r="R38" s="16">
        <f>MIN(S37+Q38,Debts!$D$24+MAX(0,$D38-((F38-MIN(Debts!$D$20,G37+E38))+(I38-MIN(Debts!$D$21,J37+H38))+(L38-MIN(Debts!$D$22,M37+K38))+(O38-MIN(Debts!$D$23,P37+N38)))))</f>
        <v>0</v>
      </c>
      <c r="S38" s="16">
        <f>ROUND(S37+Q38-R38,2)</f>
        <v>0</v>
      </c>
      <c r="T38" s="28">
        <f>G38+J38+M38+P38+S38</f>
        <v>0</v>
      </c>
      <c r="U38" s="16">
        <f>E38+H38+K38+N38+Q38</f>
        <v>0</v>
      </c>
      <c r="V38" s="16">
        <f>F38+I38+L38+O38+R38</f>
        <v>0</v>
      </c>
    </row>
    <row r="39">
      <c r="A39" s="12" t="n">
        <v>33</v>
      </c>
      <c r="B39" s="27">
        <f>EDATE(Debts!$C$16,32)</f>
        <v>47300.0</v>
      </c>
      <c r="C39" s="12">
        <f>IF(T38&gt;0.005,1,0)</f>
        <v>0</v>
      </c>
      <c r="D39" s="16">
        <f>ROUND(MAX(0,(SUM(Debts!$D$20:$D$24)+N(Debts!$C$15))-(MIN(Debts!$D$20,G38+E39)+MIN(Debts!$D$21,J38+H39)+MIN(Debts!$D$22,M38+K39)+MIN(Debts!$D$23,P38+N39)+MIN(Debts!$D$24,S38+Q39))),2)*C39</f>
        <v>0</v>
      </c>
      <c r="E39" s="16">
        <f>ROUND(G38*Debts!$C$20/100/12,2)</f>
        <v>0</v>
      </c>
      <c r="F39" s="16">
        <f>MIN(G38+E39,Debts!$D$20+MAX(0,$D39-(0)))</f>
        <v>0</v>
      </c>
      <c r="G39" s="16">
        <f>ROUND(G38+E39-F39,2)</f>
        <v>0</v>
      </c>
      <c r="H39" s="16">
        <f>ROUND(J38*Debts!$C$21/100/12,2)</f>
        <v>0</v>
      </c>
      <c r="I39" s="16">
        <f>MIN(J38+H39,Debts!$D$21+MAX(0,$D39-((F39-MIN(Debts!$D$20,G38+E39)))))</f>
        <v>0</v>
      </c>
      <c r="J39" s="16">
        <f>ROUND(J38+H39-I39,2)</f>
        <v>0</v>
      </c>
      <c r="K39" s="16">
        <f>ROUND(M38*Debts!$C$22/100/12,2)</f>
        <v>0</v>
      </c>
      <c r="L39" s="16">
        <f>MIN(M38+K39,Debts!$D$22+MAX(0,$D39-((F39-MIN(Debts!$D$20,G38+E39))+(I39-MIN(Debts!$D$21,J38+H39)))))</f>
        <v>0</v>
      </c>
      <c r="M39" s="16">
        <f>ROUND(M38+K39-L39,2)</f>
        <v>0</v>
      </c>
      <c r="N39" s="16">
        <f>ROUND(P38*Debts!$C$23/100/12,2)</f>
        <v>0</v>
      </c>
      <c r="O39" s="16">
        <f>MIN(P38+N39,Debts!$D$23+MAX(0,$D39-((F39-MIN(Debts!$D$20,G38+E39))+(I39-MIN(Debts!$D$21,J38+H39))+(L39-MIN(Debts!$D$22,M38+K39)))))</f>
        <v>0</v>
      </c>
      <c r="P39" s="16">
        <f>ROUND(P38+N39-O39,2)</f>
        <v>0</v>
      </c>
      <c r="Q39" s="16">
        <f>ROUND(S38*Debts!$C$24/100/12,2)</f>
        <v>0</v>
      </c>
      <c r="R39" s="16">
        <f>MIN(S38+Q39,Debts!$D$24+MAX(0,$D39-((F39-MIN(Debts!$D$20,G38+E39))+(I39-MIN(Debts!$D$21,J38+H39))+(L39-MIN(Debts!$D$22,M38+K39))+(O39-MIN(Debts!$D$23,P38+N39)))))</f>
        <v>0</v>
      </c>
      <c r="S39" s="16">
        <f>ROUND(S38+Q39-R39,2)</f>
        <v>0</v>
      </c>
      <c r="T39" s="28">
        <f>G39+J39+M39+P39+S39</f>
        <v>0</v>
      </c>
      <c r="U39" s="16">
        <f>E39+H39+K39+N39+Q39</f>
        <v>0</v>
      </c>
      <c r="V39" s="16">
        <f>F39+I39+L39+O39+R39</f>
        <v>0</v>
      </c>
    </row>
    <row r="40">
      <c r="A40" s="12" t="n">
        <v>34</v>
      </c>
      <c r="B40" s="27">
        <f>EDATE(Debts!$C$16,33)</f>
        <v>47331.0</v>
      </c>
      <c r="C40" s="12">
        <f>IF(T39&gt;0.005,1,0)</f>
        <v>0</v>
      </c>
      <c r="D40" s="16">
        <f>ROUND(MAX(0,(SUM(Debts!$D$20:$D$24)+N(Debts!$C$15))-(MIN(Debts!$D$20,G39+E40)+MIN(Debts!$D$21,J39+H40)+MIN(Debts!$D$22,M39+K40)+MIN(Debts!$D$23,P39+N40)+MIN(Debts!$D$24,S39+Q40))),2)*C40</f>
        <v>0</v>
      </c>
      <c r="E40" s="16">
        <f>ROUND(G39*Debts!$C$20/100/12,2)</f>
        <v>0</v>
      </c>
      <c r="F40" s="16">
        <f>MIN(G39+E40,Debts!$D$20+MAX(0,$D40-(0)))</f>
        <v>0</v>
      </c>
      <c r="G40" s="16">
        <f>ROUND(G39+E40-F40,2)</f>
        <v>0</v>
      </c>
      <c r="H40" s="16">
        <f>ROUND(J39*Debts!$C$21/100/12,2)</f>
        <v>0</v>
      </c>
      <c r="I40" s="16">
        <f>MIN(J39+H40,Debts!$D$21+MAX(0,$D40-((F40-MIN(Debts!$D$20,G39+E40)))))</f>
        <v>0</v>
      </c>
      <c r="J40" s="16">
        <f>ROUND(J39+H40-I40,2)</f>
        <v>0</v>
      </c>
      <c r="K40" s="16">
        <f>ROUND(M39*Debts!$C$22/100/12,2)</f>
        <v>0</v>
      </c>
      <c r="L40" s="16">
        <f>MIN(M39+K40,Debts!$D$22+MAX(0,$D40-((F40-MIN(Debts!$D$20,G39+E40))+(I40-MIN(Debts!$D$21,J39+H40)))))</f>
        <v>0</v>
      </c>
      <c r="M40" s="16">
        <f>ROUND(M39+K40-L40,2)</f>
        <v>0</v>
      </c>
      <c r="N40" s="16">
        <f>ROUND(P39*Debts!$C$23/100/12,2)</f>
        <v>0</v>
      </c>
      <c r="O40" s="16">
        <f>MIN(P39+N40,Debts!$D$23+MAX(0,$D40-((F40-MIN(Debts!$D$20,G39+E40))+(I40-MIN(Debts!$D$21,J39+H40))+(L40-MIN(Debts!$D$22,M39+K40)))))</f>
        <v>0</v>
      </c>
      <c r="P40" s="16">
        <f>ROUND(P39+N40-O40,2)</f>
        <v>0</v>
      </c>
      <c r="Q40" s="16">
        <f>ROUND(S39*Debts!$C$24/100/12,2)</f>
        <v>0</v>
      </c>
      <c r="R40" s="16">
        <f>MIN(S39+Q40,Debts!$D$24+MAX(0,$D40-((F40-MIN(Debts!$D$20,G39+E40))+(I40-MIN(Debts!$D$21,J39+H40))+(L40-MIN(Debts!$D$22,M39+K40))+(O40-MIN(Debts!$D$23,P39+N40)))))</f>
        <v>0</v>
      </c>
      <c r="S40" s="16">
        <f>ROUND(S39+Q40-R40,2)</f>
        <v>0</v>
      </c>
      <c r="T40" s="28">
        <f>G40+J40+M40+P40+S40</f>
        <v>0</v>
      </c>
      <c r="U40" s="16">
        <f>E40+H40+K40+N40+Q40</f>
        <v>0</v>
      </c>
      <c r="V40" s="16">
        <f>F40+I40+L40+O40+R40</f>
        <v>0</v>
      </c>
    </row>
    <row r="41">
      <c r="A41" s="12" t="n">
        <v>35</v>
      </c>
      <c r="B41" s="27">
        <f>EDATE(Debts!$C$16,34)</f>
        <v>47362.0</v>
      </c>
      <c r="C41" s="12">
        <f>IF(T40&gt;0.005,1,0)</f>
        <v>0</v>
      </c>
      <c r="D41" s="16">
        <f>ROUND(MAX(0,(SUM(Debts!$D$20:$D$24)+N(Debts!$C$15))-(MIN(Debts!$D$20,G40+E41)+MIN(Debts!$D$21,J40+H41)+MIN(Debts!$D$22,M40+K41)+MIN(Debts!$D$23,P40+N41)+MIN(Debts!$D$24,S40+Q41))),2)*C41</f>
        <v>0</v>
      </c>
      <c r="E41" s="16">
        <f>ROUND(G40*Debts!$C$20/100/12,2)</f>
        <v>0</v>
      </c>
      <c r="F41" s="16">
        <f>MIN(G40+E41,Debts!$D$20+MAX(0,$D41-(0)))</f>
        <v>0</v>
      </c>
      <c r="G41" s="16">
        <f>ROUND(G40+E41-F41,2)</f>
        <v>0</v>
      </c>
      <c r="H41" s="16">
        <f>ROUND(J40*Debts!$C$21/100/12,2)</f>
        <v>0</v>
      </c>
      <c r="I41" s="16">
        <f>MIN(J40+H41,Debts!$D$21+MAX(0,$D41-((F41-MIN(Debts!$D$20,G40+E41)))))</f>
        <v>0</v>
      </c>
      <c r="J41" s="16">
        <f>ROUND(J40+H41-I41,2)</f>
        <v>0</v>
      </c>
      <c r="K41" s="16">
        <f>ROUND(M40*Debts!$C$22/100/12,2)</f>
        <v>0</v>
      </c>
      <c r="L41" s="16">
        <f>MIN(M40+K41,Debts!$D$22+MAX(0,$D41-((F41-MIN(Debts!$D$20,G40+E41))+(I41-MIN(Debts!$D$21,J40+H41)))))</f>
        <v>0</v>
      </c>
      <c r="M41" s="16">
        <f>ROUND(M40+K41-L41,2)</f>
        <v>0</v>
      </c>
      <c r="N41" s="16">
        <f>ROUND(P40*Debts!$C$23/100/12,2)</f>
        <v>0</v>
      </c>
      <c r="O41" s="16">
        <f>MIN(P40+N41,Debts!$D$23+MAX(0,$D41-((F41-MIN(Debts!$D$20,G40+E41))+(I41-MIN(Debts!$D$21,J40+H41))+(L41-MIN(Debts!$D$22,M40+K41)))))</f>
        <v>0</v>
      </c>
      <c r="P41" s="16">
        <f>ROUND(P40+N41-O41,2)</f>
        <v>0</v>
      </c>
      <c r="Q41" s="16">
        <f>ROUND(S40*Debts!$C$24/100/12,2)</f>
        <v>0</v>
      </c>
      <c r="R41" s="16">
        <f>MIN(S40+Q41,Debts!$D$24+MAX(0,$D41-((F41-MIN(Debts!$D$20,G40+E41))+(I41-MIN(Debts!$D$21,J40+H41))+(L41-MIN(Debts!$D$22,M40+K41))+(O41-MIN(Debts!$D$23,P40+N41)))))</f>
        <v>0</v>
      </c>
      <c r="S41" s="16">
        <f>ROUND(S40+Q41-R41,2)</f>
        <v>0</v>
      </c>
      <c r="T41" s="28">
        <f>G41+J41+M41+P41+S41</f>
        <v>0</v>
      </c>
      <c r="U41" s="16">
        <f>E41+H41+K41+N41+Q41</f>
        <v>0</v>
      </c>
      <c r="V41" s="16">
        <f>F41+I41+L41+O41+R41</f>
        <v>0</v>
      </c>
    </row>
    <row r="42">
      <c r="A42" s="12" t="n">
        <v>36</v>
      </c>
      <c r="B42" s="27">
        <f>EDATE(Debts!$C$16,35)</f>
        <v>47392.0</v>
      </c>
      <c r="C42" s="12">
        <f>IF(T41&gt;0.005,1,0)</f>
        <v>0</v>
      </c>
      <c r="D42" s="16">
        <f>ROUND(MAX(0,(SUM(Debts!$D$20:$D$24)+N(Debts!$C$15))-(MIN(Debts!$D$20,G41+E42)+MIN(Debts!$D$21,J41+H42)+MIN(Debts!$D$22,M41+K42)+MIN(Debts!$D$23,P41+N42)+MIN(Debts!$D$24,S41+Q42))),2)*C42</f>
        <v>0</v>
      </c>
      <c r="E42" s="16">
        <f>ROUND(G41*Debts!$C$20/100/12,2)</f>
        <v>0</v>
      </c>
      <c r="F42" s="16">
        <f>MIN(G41+E42,Debts!$D$20+MAX(0,$D42-(0)))</f>
        <v>0</v>
      </c>
      <c r="G42" s="16">
        <f>ROUND(G41+E42-F42,2)</f>
        <v>0</v>
      </c>
      <c r="H42" s="16">
        <f>ROUND(J41*Debts!$C$21/100/12,2)</f>
        <v>0</v>
      </c>
      <c r="I42" s="16">
        <f>MIN(J41+H42,Debts!$D$21+MAX(0,$D42-((F42-MIN(Debts!$D$20,G41+E42)))))</f>
        <v>0</v>
      </c>
      <c r="J42" s="16">
        <f>ROUND(J41+H42-I42,2)</f>
        <v>0</v>
      </c>
      <c r="K42" s="16">
        <f>ROUND(M41*Debts!$C$22/100/12,2)</f>
        <v>0</v>
      </c>
      <c r="L42" s="16">
        <f>MIN(M41+K42,Debts!$D$22+MAX(0,$D42-((F42-MIN(Debts!$D$20,G41+E42))+(I42-MIN(Debts!$D$21,J41+H42)))))</f>
        <v>0</v>
      </c>
      <c r="M42" s="16">
        <f>ROUND(M41+K42-L42,2)</f>
        <v>0</v>
      </c>
      <c r="N42" s="16">
        <f>ROUND(P41*Debts!$C$23/100/12,2)</f>
        <v>0</v>
      </c>
      <c r="O42" s="16">
        <f>MIN(P41+N42,Debts!$D$23+MAX(0,$D42-((F42-MIN(Debts!$D$20,G41+E42))+(I42-MIN(Debts!$D$21,J41+H42))+(L42-MIN(Debts!$D$22,M41+K42)))))</f>
        <v>0</v>
      </c>
      <c r="P42" s="16">
        <f>ROUND(P41+N42-O42,2)</f>
        <v>0</v>
      </c>
      <c r="Q42" s="16">
        <f>ROUND(S41*Debts!$C$24/100/12,2)</f>
        <v>0</v>
      </c>
      <c r="R42" s="16">
        <f>MIN(S41+Q42,Debts!$D$24+MAX(0,$D42-((F42-MIN(Debts!$D$20,G41+E42))+(I42-MIN(Debts!$D$21,J41+H42))+(L42-MIN(Debts!$D$22,M41+K42))+(O42-MIN(Debts!$D$23,P41+N42)))))</f>
        <v>0</v>
      </c>
      <c r="S42" s="16">
        <f>ROUND(S41+Q42-R42,2)</f>
        <v>0</v>
      </c>
      <c r="T42" s="28">
        <f>G42+J42+M42+P42+S42</f>
        <v>0</v>
      </c>
      <c r="U42" s="16">
        <f>E42+H42+K42+N42+Q42</f>
        <v>0</v>
      </c>
      <c r="V42" s="16">
        <f>F42+I42+L42+O42+R42</f>
        <v>0</v>
      </c>
    </row>
    <row r="43">
      <c r="A43" s="12" t="n">
        <v>37</v>
      </c>
      <c r="B43" s="27">
        <f>EDATE(Debts!$C$16,36)</f>
        <v>47423.0</v>
      </c>
      <c r="C43" s="12">
        <f>IF(T42&gt;0.005,1,0)</f>
        <v>0</v>
      </c>
      <c r="D43" s="16">
        <f>ROUND(MAX(0,(SUM(Debts!$D$20:$D$24)+N(Debts!$C$15))-(MIN(Debts!$D$20,G42+E43)+MIN(Debts!$D$21,J42+H43)+MIN(Debts!$D$22,M42+K43)+MIN(Debts!$D$23,P42+N43)+MIN(Debts!$D$24,S42+Q43))),2)*C43</f>
        <v>0</v>
      </c>
      <c r="E43" s="16">
        <f>ROUND(G42*Debts!$C$20/100/12,2)</f>
        <v>0</v>
      </c>
      <c r="F43" s="16">
        <f>MIN(G42+E43,Debts!$D$20+MAX(0,$D43-(0)))</f>
        <v>0</v>
      </c>
      <c r="G43" s="16">
        <f>ROUND(G42+E43-F43,2)</f>
        <v>0</v>
      </c>
      <c r="H43" s="16">
        <f>ROUND(J42*Debts!$C$21/100/12,2)</f>
        <v>0</v>
      </c>
      <c r="I43" s="16">
        <f>MIN(J42+H43,Debts!$D$21+MAX(0,$D43-((F43-MIN(Debts!$D$20,G42+E43)))))</f>
        <v>0</v>
      </c>
      <c r="J43" s="16">
        <f>ROUND(J42+H43-I43,2)</f>
        <v>0</v>
      </c>
      <c r="K43" s="16">
        <f>ROUND(M42*Debts!$C$22/100/12,2)</f>
        <v>0</v>
      </c>
      <c r="L43" s="16">
        <f>MIN(M42+K43,Debts!$D$22+MAX(0,$D43-((F43-MIN(Debts!$D$20,G42+E43))+(I43-MIN(Debts!$D$21,J42+H43)))))</f>
        <v>0</v>
      </c>
      <c r="M43" s="16">
        <f>ROUND(M42+K43-L43,2)</f>
        <v>0</v>
      </c>
      <c r="N43" s="16">
        <f>ROUND(P42*Debts!$C$23/100/12,2)</f>
        <v>0</v>
      </c>
      <c r="O43" s="16">
        <f>MIN(P42+N43,Debts!$D$23+MAX(0,$D43-((F43-MIN(Debts!$D$20,G42+E43))+(I43-MIN(Debts!$D$21,J42+H43))+(L43-MIN(Debts!$D$22,M42+K43)))))</f>
        <v>0</v>
      </c>
      <c r="P43" s="16">
        <f>ROUND(P42+N43-O43,2)</f>
        <v>0</v>
      </c>
      <c r="Q43" s="16">
        <f>ROUND(S42*Debts!$C$24/100/12,2)</f>
        <v>0</v>
      </c>
      <c r="R43" s="16">
        <f>MIN(S42+Q43,Debts!$D$24+MAX(0,$D43-((F43-MIN(Debts!$D$20,G42+E43))+(I43-MIN(Debts!$D$21,J42+H43))+(L43-MIN(Debts!$D$22,M42+K43))+(O43-MIN(Debts!$D$23,P42+N43)))))</f>
        <v>0</v>
      </c>
      <c r="S43" s="16">
        <f>ROUND(S42+Q43-R43,2)</f>
        <v>0</v>
      </c>
      <c r="T43" s="28">
        <f>G43+J43+M43+P43+S43</f>
        <v>0</v>
      </c>
      <c r="U43" s="16">
        <f>E43+H43+K43+N43+Q43</f>
        <v>0</v>
      </c>
      <c r="V43" s="16">
        <f>F43+I43+L43+O43+R43</f>
        <v>0</v>
      </c>
    </row>
    <row r="44">
      <c r="A44" s="12" t="n">
        <v>38</v>
      </c>
      <c r="B44" s="27">
        <f>EDATE(Debts!$C$16,37)</f>
        <v>47453.0</v>
      </c>
      <c r="C44" s="12">
        <f>IF(T43&gt;0.005,1,0)</f>
        <v>0</v>
      </c>
      <c r="D44" s="16">
        <f>ROUND(MAX(0,(SUM(Debts!$D$20:$D$24)+N(Debts!$C$15))-(MIN(Debts!$D$20,G43+E44)+MIN(Debts!$D$21,J43+H44)+MIN(Debts!$D$22,M43+K44)+MIN(Debts!$D$23,P43+N44)+MIN(Debts!$D$24,S43+Q44))),2)*C44</f>
        <v>0</v>
      </c>
      <c r="E44" s="16">
        <f>ROUND(G43*Debts!$C$20/100/12,2)</f>
        <v>0</v>
      </c>
      <c r="F44" s="16">
        <f>MIN(G43+E44,Debts!$D$20+MAX(0,$D44-(0)))</f>
        <v>0</v>
      </c>
      <c r="G44" s="16">
        <f>ROUND(G43+E44-F44,2)</f>
        <v>0</v>
      </c>
      <c r="H44" s="16">
        <f>ROUND(J43*Debts!$C$21/100/12,2)</f>
        <v>0</v>
      </c>
      <c r="I44" s="16">
        <f>MIN(J43+H44,Debts!$D$21+MAX(0,$D44-((F44-MIN(Debts!$D$20,G43+E44)))))</f>
        <v>0</v>
      </c>
      <c r="J44" s="16">
        <f>ROUND(J43+H44-I44,2)</f>
        <v>0</v>
      </c>
      <c r="K44" s="16">
        <f>ROUND(M43*Debts!$C$22/100/12,2)</f>
        <v>0</v>
      </c>
      <c r="L44" s="16">
        <f>MIN(M43+K44,Debts!$D$22+MAX(0,$D44-((F44-MIN(Debts!$D$20,G43+E44))+(I44-MIN(Debts!$D$21,J43+H44)))))</f>
        <v>0</v>
      </c>
      <c r="M44" s="16">
        <f>ROUND(M43+K44-L44,2)</f>
        <v>0</v>
      </c>
      <c r="N44" s="16">
        <f>ROUND(P43*Debts!$C$23/100/12,2)</f>
        <v>0</v>
      </c>
      <c r="O44" s="16">
        <f>MIN(P43+N44,Debts!$D$23+MAX(0,$D44-((F44-MIN(Debts!$D$20,G43+E44))+(I44-MIN(Debts!$D$21,J43+H44))+(L44-MIN(Debts!$D$22,M43+K44)))))</f>
        <v>0</v>
      </c>
      <c r="P44" s="16">
        <f>ROUND(P43+N44-O44,2)</f>
        <v>0</v>
      </c>
      <c r="Q44" s="16">
        <f>ROUND(S43*Debts!$C$24/100/12,2)</f>
        <v>0</v>
      </c>
      <c r="R44" s="16">
        <f>MIN(S43+Q44,Debts!$D$24+MAX(0,$D44-((F44-MIN(Debts!$D$20,G43+E44))+(I44-MIN(Debts!$D$21,J43+H44))+(L44-MIN(Debts!$D$22,M43+K44))+(O44-MIN(Debts!$D$23,P43+N44)))))</f>
        <v>0</v>
      </c>
      <c r="S44" s="16">
        <f>ROUND(S43+Q44-R44,2)</f>
        <v>0</v>
      </c>
      <c r="T44" s="28">
        <f>G44+J44+M44+P44+S44</f>
        <v>0</v>
      </c>
      <c r="U44" s="16">
        <f>E44+H44+K44+N44+Q44</f>
        <v>0</v>
      </c>
      <c r="V44" s="16">
        <f>F44+I44+L44+O44+R44</f>
        <v>0</v>
      </c>
    </row>
    <row r="45">
      <c r="A45" s="12" t="n">
        <v>39</v>
      </c>
      <c r="B45" s="27">
        <f>EDATE(Debts!$C$16,38)</f>
        <v>47484.0</v>
      </c>
      <c r="C45" s="12">
        <f>IF(T44&gt;0.005,1,0)</f>
        <v>0</v>
      </c>
      <c r="D45" s="16">
        <f>ROUND(MAX(0,(SUM(Debts!$D$20:$D$24)+N(Debts!$C$15))-(MIN(Debts!$D$20,G44+E45)+MIN(Debts!$D$21,J44+H45)+MIN(Debts!$D$22,M44+K45)+MIN(Debts!$D$23,P44+N45)+MIN(Debts!$D$24,S44+Q45))),2)*C45</f>
        <v>0</v>
      </c>
      <c r="E45" s="16">
        <f>ROUND(G44*Debts!$C$20/100/12,2)</f>
        <v>0</v>
      </c>
      <c r="F45" s="16">
        <f>MIN(G44+E45,Debts!$D$20+MAX(0,$D45-(0)))</f>
        <v>0</v>
      </c>
      <c r="G45" s="16">
        <f>ROUND(G44+E45-F45,2)</f>
        <v>0</v>
      </c>
      <c r="H45" s="16">
        <f>ROUND(J44*Debts!$C$21/100/12,2)</f>
        <v>0</v>
      </c>
      <c r="I45" s="16">
        <f>MIN(J44+H45,Debts!$D$21+MAX(0,$D45-((F45-MIN(Debts!$D$20,G44+E45)))))</f>
        <v>0</v>
      </c>
      <c r="J45" s="16">
        <f>ROUND(J44+H45-I45,2)</f>
        <v>0</v>
      </c>
      <c r="K45" s="16">
        <f>ROUND(M44*Debts!$C$22/100/12,2)</f>
        <v>0</v>
      </c>
      <c r="L45" s="16">
        <f>MIN(M44+K45,Debts!$D$22+MAX(0,$D45-((F45-MIN(Debts!$D$20,G44+E45))+(I45-MIN(Debts!$D$21,J44+H45)))))</f>
        <v>0</v>
      </c>
      <c r="M45" s="16">
        <f>ROUND(M44+K45-L45,2)</f>
        <v>0</v>
      </c>
      <c r="N45" s="16">
        <f>ROUND(P44*Debts!$C$23/100/12,2)</f>
        <v>0</v>
      </c>
      <c r="O45" s="16">
        <f>MIN(P44+N45,Debts!$D$23+MAX(0,$D45-((F45-MIN(Debts!$D$20,G44+E45))+(I45-MIN(Debts!$D$21,J44+H45))+(L45-MIN(Debts!$D$22,M44+K45)))))</f>
        <v>0</v>
      </c>
      <c r="P45" s="16">
        <f>ROUND(P44+N45-O45,2)</f>
        <v>0</v>
      </c>
      <c r="Q45" s="16">
        <f>ROUND(S44*Debts!$C$24/100/12,2)</f>
        <v>0</v>
      </c>
      <c r="R45" s="16">
        <f>MIN(S44+Q45,Debts!$D$24+MAX(0,$D45-((F45-MIN(Debts!$D$20,G44+E45))+(I45-MIN(Debts!$D$21,J44+H45))+(L45-MIN(Debts!$D$22,M44+K45))+(O45-MIN(Debts!$D$23,P44+N45)))))</f>
        <v>0</v>
      </c>
      <c r="S45" s="16">
        <f>ROUND(S44+Q45-R45,2)</f>
        <v>0</v>
      </c>
      <c r="T45" s="28">
        <f>G45+J45+M45+P45+S45</f>
        <v>0</v>
      </c>
      <c r="U45" s="16">
        <f>E45+H45+K45+N45+Q45</f>
        <v>0</v>
      </c>
      <c r="V45" s="16">
        <f>F45+I45+L45+O45+R45</f>
        <v>0</v>
      </c>
    </row>
    <row r="46">
      <c r="A46" s="12" t="n">
        <v>40</v>
      </c>
      <c r="B46" s="27">
        <f>EDATE(Debts!$C$16,39)</f>
        <v>47515.0</v>
      </c>
      <c r="C46" s="12">
        <f>IF(T45&gt;0.005,1,0)</f>
        <v>0</v>
      </c>
      <c r="D46" s="16">
        <f>ROUND(MAX(0,(SUM(Debts!$D$20:$D$24)+N(Debts!$C$15))-(MIN(Debts!$D$20,G45+E46)+MIN(Debts!$D$21,J45+H46)+MIN(Debts!$D$22,M45+K46)+MIN(Debts!$D$23,P45+N46)+MIN(Debts!$D$24,S45+Q46))),2)*C46</f>
        <v>0</v>
      </c>
      <c r="E46" s="16">
        <f>ROUND(G45*Debts!$C$20/100/12,2)</f>
        <v>0</v>
      </c>
      <c r="F46" s="16">
        <f>MIN(G45+E46,Debts!$D$20+MAX(0,$D46-(0)))</f>
        <v>0</v>
      </c>
      <c r="G46" s="16">
        <f>ROUND(G45+E46-F46,2)</f>
        <v>0</v>
      </c>
      <c r="H46" s="16">
        <f>ROUND(J45*Debts!$C$21/100/12,2)</f>
        <v>0</v>
      </c>
      <c r="I46" s="16">
        <f>MIN(J45+H46,Debts!$D$21+MAX(0,$D46-((F46-MIN(Debts!$D$20,G45+E46)))))</f>
        <v>0</v>
      </c>
      <c r="J46" s="16">
        <f>ROUND(J45+H46-I46,2)</f>
        <v>0</v>
      </c>
      <c r="K46" s="16">
        <f>ROUND(M45*Debts!$C$22/100/12,2)</f>
        <v>0</v>
      </c>
      <c r="L46" s="16">
        <f>MIN(M45+K46,Debts!$D$22+MAX(0,$D46-((F46-MIN(Debts!$D$20,G45+E46))+(I46-MIN(Debts!$D$21,J45+H46)))))</f>
        <v>0</v>
      </c>
      <c r="M46" s="16">
        <f>ROUND(M45+K46-L46,2)</f>
        <v>0</v>
      </c>
      <c r="N46" s="16">
        <f>ROUND(P45*Debts!$C$23/100/12,2)</f>
        <v>0</v>
      </c>
      <c r="O46" s="16">
        <f>MIN(P45+N46,Debts!$D$23+MAX(0,$D46-((F46-MIN(Debts!$D$20,G45+E46))+(I46-MIN(Debts!$D$21,J45+H46))+(L46-MIN(Debts!$D$22,M45+K46)))))</f>
        <v>0</v>
      </c>
      <c r="P46" s="16">
        <f>ROUND(P45+N46-O46,2)</f>
        <v>0</v>
      </c>
      <c r="Q46" s="16">
        <f>ROUND(S45*Debts!$C$24/100/12,2)</f>
        <v>0</v>
      </c>
      <c r="R46" s="16">
        <f>MIN(S45+Q46,Debts!$D$24+MAX(0,$D46-((F46-MIN(Debts!$D$20,G45+E46))+(I46-MIN(Debts!$D$21,J45+H46))+(L46-MIN(Debts!$D$22,M45+K46))+(O46-MIN(Debts!$D$23,P45+N46)))))</f>
        <v>0</v>
      </c>
      <c r="S46" s="16">
        <f>ROUND(S45+Q46-R46,2)</f>
        <v>0</v>
      </c>
      <c r="T46" s="28">
        <f>G46+J46+M46+P46+S46</f>
        <v>0</v>
      </c>
      <c r="U46" s="16">
        <f>E46+H46+K46+N46+Q46</f>
        <v>0</v>
      </c>
      <c r="V46" s="16">
        <f>F46+I46+L46+O46+R46</f>
        <v>0</v>
      </c>
    </row>
    <row r="47">
      <c r="A47" s="12" t="n">
        <v>41</v>
      </c>
      <c r="B47" s="27">
        <f>EDATE(Debts!$C$16,40)</f>
        <v>47543.0</v>
      </c>
      <c r="C47" s="12">
        <f>IF(T46&gt;0.005,1,0)</f>
        <v>0</v>
      </c>
      <c r="D47" s="16">
        <f>ROUND(MAX(0,(SUM(Debts!$D$20:$D$24)+N(Debts!$C$15))-(MIN(Debts!$D$20,G46+E47)+MIN(Debts!$D$21,J46+H47)+MIN(Debts!$D$22,M46+K47)+MIN(Debts!$D$23,P46+N47)+MIN(Debts!$D$24,S46+Q47))),2)*C47</f>
        <v>0</v>
      </c>
      <c r="E47" s="16">
        <f>ROUND(G46*Debts!$C$20/100/12,2)</f>
        <v>0</v>
      </c>
      <c r="F47" s="16">
        <f>MIN(G46+E47,Debts!$D$20+MAX(0,$D47-(0)))</f>
        <v>0</v>
      </c>
      <c r="G47" s="16">
        <f>ROUND(G46+E47-F47,2)</f>
        <v>0</v>
      </c>
      <c r="H47" s="16">
        <f>ROUND(J46*Debts!$C$21/100/12,2)</f>
        <v>0</v>
      </c>
      <c r="I47" s="16">
        <f>MIN(J46+H47,Debts!$D$21+MAX(0,$D47-((F47-MIN(Debts!$D$20,G46+E47)))))</f>
        <v>0</v>
      </c>
      <c r="J47" s="16">
        <f>ROUND(J46+H47-I47,2)</f>
        <v>0</v>
      </c>
      <c r="K47" s="16">
        <f>ROUND(M46*Debts!$C$22/100/12,2)</f>
        <v>0</v>
      </c>
      <c r="L47" s="16">
        <f>MIN(M46+K47,Debts!$D$22+MAX(0,$D47-((F47-MIN(Debts!$D$20,G46+E47))+(I47-MIN(Debts!$D$21,J46+H47)))))</f>
        <v>0</v>
      </c>
      <c r="M47" s="16">
        <f>ROUND(M46+K47-L47,2)</f>
        <v>0</v>
      </c>
      <c r="N47" s="16">
        <f>ROUND(P46*Debts!$C$23/100/12,2)</f>
        <v>0</v>
      </c>
      <c r="O47" s="16">
        <f>MIN(P46+N47,Debts!$D$23+MAX(0,$D47-((F47-MIN(Debts!$D$20,G46+E47))+(I47-MIN(Debts!$D$21,J46+H47))+(L47-MIN(Debts!$D$22,M46+K47)))))</f>
        <v>0</v>
      </c>
      <c r="P47" s="16">
        <f>ROUND(P46+N47-O47,2)</f>
        <v>0</v>
      </c>
      <c r="Q47" s="16">
        <f>ROUND(S46*Debts!$C$24/100/12,2)</f>
        <v>0</v>
      </c>
      <c r="R47" s="16">
        <f>MIN(S46+Q47,Debts!$D$24+MAX(0,$D47-((F47-MIN(Debts!$D$20,G46+E47))+(I47-MIN(Debts!$D$21,J46+H47))+(L47-MIN(Debts!$D$22,M46+K47))+(O47-MIN(Debts!$D$23,P46+N47)))))</f>
        <v>0</v>
      </c>
      <c r="S47" s="16">
        <f>ROUND(S46+Q47-R47,2)</f>
        <v>0</v>
      </c>
      <c r="T47" s="28">
        <f>G47+J47+M47+P47+S47</f>
        <v>0</v>
      </c>
      <c r="U47" s="16">
        <f>E47+H47+K47+N47+Q47</f>
        <v>0</v>
      </c>
      <c r="V47" s="16">
        <f>F47+I47+L47+O47+R47</f>
        <v>0</v>
      </c>
    </row>
    <row r="48">
      <c r="A48" s="12" t="n">
        <v>42</v>
      </c>
      <c r="B48" s="27">
        <f>EDATE(Debts!$C$16,41)</f>
        <v>47574.0</v>
      </c>
      <c r="C48" s="12">
        <f>IF(T47&gt;0.005,1,0)</f>
        <v>0</v>
      </c>
      <c r="D48" s="16">
        <f>ROUND(MAX(0,(SUM(Debts!$D$20:$D$24)+N(Debts!$C$15))-(MIN(Debts!$D$20,G47+E48)+MIN(Debts!$D$21,J47+H48)+MIN(Debts!$D$22,M47+K48)+MIN(Debts!$D$23,P47+N48)+MIN(Debts!$D$24,S47+Q48))),2)*C48</f>
        <v>0</v>
      </c>
      <c r="E48" s="16">
        <f>ROUND(G47*Debts!$C$20/100/12,2)</f>
        <v>0</v>
      </c>
      <c r="F48" s="16">
        <f>MIN(G47+E48,Debts!$D$20+MAX(0,$D48-(0)))</f>
        <v>0</v>
      </c>
      <c r="G48" s="16">
        <f>ROUND(G47+E48-F48,2)</f>
        <v>0</v>
      </c>
      <c r="H48" s="16">
        <f>ROUND(J47*Debts!$C$21/100/12,2)</f>
        <v>0</v>
      </c>
      <c r="I48" s="16">
        <f>MIN(J47+H48,Debts!$D$21+MAX(0,$D48-((F48-MIN(Debts!$D$20,G47+E48)))))</f>
        <v>0</v>
      </c>
      <c r="J48" s="16">
        <f>ROUND(J47+H48-I48,2)</f>
        <v>0</v>
      </c>
      <c r="K48" s="16">
        <f>ROUND(M47*Debts!$C$22/100/12,2)</f>
        <v>0</v>
      </c>
      <c r="L48" s="16">
        <f>MIN(M47+K48,Debts!$D$22+MAX(0,$D48-((F48-MIN(Debts!$D$20,G47+E48))+(I48-MIN(Debts!$D$21,J47+H48)))))</f>
        <v>0</v>
      </c>
      <c r="M48" s="16">
        <f>ROUND(M47+K48-L48,2)</f>
        <v>0</v>
      </c>
      <c r="N48" s="16">
        <f>ROUND(P47*Debts!$C$23/100/12,2)</f>
        <v>0</v>
      </c>
      <c r="O48" s="16">
        <f>MIN(P47+N48,Debts!$D$23+MAX(0,$D48-((F48-MIN(Debts!$D$20,G47+E48))+(I48-MIN(Debts!$D$21,J47+H48))+(L48-MIN(Debts!$D$22,M47+K48)))))</f>
        <v>0</v>
      </c>
      <c r="P48" s="16">
        <f>ROUND(P47+N48-O48,2)</f>
        <v>0</v>
      </c>
      <c r="Q48" s="16">
        <f>ROUND(S47*Debts!$C$24/100/12,2)</f>
        <v>0</v>
      </c>
      <c r="R48" s="16">
        <f>MIN(S47+Q48,Debts!$D$24+MAX(0,$D48-((F48-MIN(Debts!$D$20,G47+E48))+(I48-MIN(Debts!$D$21,J47+H48))+(L48-MIN(Debts!$D$22,M47+K48))+(O48-MIN(Debts!$D$23,P47+N48)))))</f>
        <v>0</v>
      </c>
      <c r="S48" s="16">
        <f>ROUND(S47+Q48-R48,2)</f>
        <v>0</v>
      </c>
      <c r="T48" s="28">
        <f>G48+J48+M48+P48+S48</f>
        <v>0</v>
      </c>
      <c r="U48" s="16">
        <f>E48+H48+K48+N48+Q48</f>
        <v>0</v>
      </c>
      <c r="V48" s="16">
        <f>F48+I48+L48+O48+R48</f>
        <v>0</v>
      </c>
    </row>
    <row r="49">
      <c r="A49" s="12" t="n">
        <v>43</v>
      </c>
      <c r="B49" s="27">
        <f>EDATE(Debts!$C$16,42)</f>
        <v>47604.0</v>
      </c>
      <c r="C49" s="12">
        <f>IF(T48&gt;0.005,1,0)</f>
        <v>0</v>
      </c>
      <c r="D49" s="16">
        <f>ROUND(MAX(0,(SUM(Debts!$D$20:$D$24)+N(Debts!$C$15))-(MIN(Debts!$D$20,G48+E49)+MIN(Debts!$D$21,J48+H49)+MIN(Debts!$D$22,M48+K49)+MIN(Debts!$D$23,P48+N49)+MIN(Debts!$D$24,S48+Q49))),2)*C49</f>
        <v>0</v>
      </c>
      <c r="E49" s="16">
        <f>ROUND(G48*Debts!$C$20/100/12,2)</f>
        <v>0</v>
      </c>
      <c r="F49" s="16">
        <f>MIN(G48+E49,Debts!$D$20+MAX(0,$D49-(0)))</f>
        <v>0</v>
      </c>
      <c r="G49" s="16">
        <f>ROUND(G48+E49-F49,2)</f>
        <v>0</v>
      </c>
      <c r="H49" s="16">
        <f>ROUND(J48*Debts!$C$21/100/12,2)</f>
        <v>0</v>
      </c>
      <c r="I49" s="16">
        <f>MIN(J48+H49,Debts!$D$21+MAX(0,$D49-((F49-MIN(Debts!$D$20,G48+E49)))))</f>
        <v>0</v>
      </c>
      <c r="J49" s="16">
        <f>ROUND(J48+H49-I49,2)</f>
        <v>0</v>
      </c>
      <c r="K49" s="16">
        <f>ROUND(M48*Debts!$C$22/100/12,2)</f>
        <v>0</v>
      </c>
      <c r="L49" s="16">
        <f>MIN(M48+K49,Debts!$D$22+MAX(0,$D49-((F49-MIN(Debts!$D$20,G48+E49))+(I49-MIN(Debts!$D$21,J48+H49)))))</f>
        <v>0</v>
      </c>
      <c r="M49" s="16">
        <f>ROUND(M48+K49-L49,2)</f>
        <v>0</v>
      </c>
      <c r="N49" s="16">
        <f>ROUND(P48*Debts!$C$23/100/12,2)</f>
        <v>0</v>
      </c>
      <c r="O49" s="16">
        <f>MIN(P48+N49,Debts!$D$23+MAX(0,$D49-((F49-MIN(Debts!$D$20,G48+E49))+(I49-MIN(Debts!$D$21,J48+H49))+(L49-MIN(Debts!$D$22,M48+K49)))))</f>
        <v>0</v>
      </c>
      <c r="P49" s="16">
        <f>ROUND(P48+N49-O49,2)</f>
        <v>0</v>
      </c>
      <c r="Q49" s="16">
        <f>ROUND(S48*Debts!$C$24/100/12,2)</f>
        <v>0</v>
      </c>
      <c r="R49" s="16">
        <f>MIN(S48+Q49,Debts!$D$24+MAX(0,$D49-((F49-MIN(Debts!$D$20,G48+E49))+(I49-MIN(Debts!$D$21,J48+H49))+(L49-MIN(Debts!$D$22,M48+K49))+(O49-MIN(Debts!$D$23,P48+N49)))))</f>
        <v>0</v>
      </c>
      <c r="S49" s="16">
        <f>ROUND(S48+Q49-R49,2)</f>
        <v>0</v>
      </c>
      <c r="T49" s="28">
        <f>G49+J49+M49+P49+S49</f>
        <v>0</v>
      </c>
      <c r="U49" s="16">
        <f>E49+H49+K49+N49+Q49</f>
        <v>0</v>
      </c>
      <c r="V49" s="16">
        <f>F49+I49+L49+O49+R49</f>
        <v>0</v>
      </c>
    </row>
    <row r="50">
      <c r="A50" s="12" t="n">
        <v>44</v>
      </c>
      <c r="B50" s="27">
        <f>EDATE(Debts!$C$16,43)</f>
        <v>47635.0</v>
      </c>
      <c r="C50" s="12">
        <f>IF(T49&gt;0.005,1,0)</f>
        <v>0</v>
      </c>
      <c r="D50" s="16">
        <f>ROUND(MAX(0,(SUM(Debts!$D$20:$D$24)+N(Debts!$C$15))-(MIN(Debts!$D$20,G49+E50)+MIN(Debts!$D$21,J49+H50)+MIN(Debts!$D$22,M49+K50)+MIN(Debts!$D$23,P49+N50)+MIN(Debts!$D$24,S49+Q50))),2)*C50</f>
        <v>0</v>
      </c>
      <c r="E50" s="16">
        <f>ROUND(G49*Debts!$C$20/100/12,2)</f>
        <v>0</v>
      </c>
      <c r="F50" s="16">
        <f>MIN(G49+E50,Debts!$D$20+MAX(0,$D50-(0)))</f>
        <v>0</v>
      </c>
      <c r="G50" s="16">
        <f>ROUND(G49+E50-F50,2)</f>
        <v>0</v>
      </c>
      <c r="H50" s="16">
        <f>ROUND(J49*Debts!$C$21/100/12,2)</f>
        <v>0</v>
      </c>
      <c r="I50" s="16">
        <f>MIN(J49+H50,Debts!$D$21+MAX(0,$D50-((F50-MIN(Debts!$D$20,G49+E50)))))</f>
        <v>0</v>
      </c>
      <c r="J50" s="16">
        <f>ROUND(J49+H50-I50,2)</f>
        <v>0</v>
      </c>
      <c r="K50" s="16">
        <f>ROUND(M49*Debts!$C$22/100/12,2)</f>
        <v>0</v>
      </c>
      <c r="L50" s="16">
        <f>MIN(M49+K50,Debts!$D$22+MAX(0,$D50-((F50-MIN(Debts!$D$20,G49+E50))+(I50-MIN(Debts!$D$21,J49+H50)))))</f>
        <v>0</v>
      </c>
      <c r="M50" s="16">
        <f>ROUND(M49+K50-L50,2)</f>
        <v>0</v>
      </c>
      <c r="N50" s="16">
        <f>ROUND(P49*Debts!$C$23/100/12,2)</f>
        <v>0</v>
      </c>
      <c r="O50" s="16">
        <f>MIN(P49+N50,Debts!$D$23+MAX(0,$D50-((F50-MIN(Debts!$D$20,G49+E50))+(I50-MIN(Debts!$D$21,J49+H50))+(L50-MIN(Debts!$D$22,M49+K50)))))</f>
        <v>0</v>
      </c>
      <c r="P50" s="16">
        <f>ROUND(P49+N50-O50,2)</f>
        <v>0</v>
      </c>
      <c r="Q50" s="16">
        <f>ROUND(S49*Debts!$C$24/100/12,2)</f>
        <v>0</v>
      </c>
      <c r="R50" s="16">
        <f>MIN(S49+Q50,Debts!$D$24+MAX(0,$D50-((F50-MIN(Debts!$D$20,G49+E50))+(I50-MIN(Debts!$D$21,J49+H50))+(L50-MIN(Debts!$D$22,M49+K50))+(O50-MIN(Debts!$D$23,P49+N50)))))</f>
        <v>0</v>
      </c>
      <c r="S50" s="16">
        <f>ROUND(S49+Q50-R50,2)</f>
        <v>0</v>
      </c>
      <c r="T50" s="28">
        <f>G50+J50+M50+P50+S50</f>
        <v>0</v>
      </c>
      <c r="U50" s="16">
        <f>E50+H50+K50+N50+Q50</f>
        <v>0</v>
      </c>
      <c r="V50" s="16">
        <f>F50+I50+L50+O50+R50</f>
        <v>0</v>
      </c>
    </row>
    <row r="51">
      <c r="A51" s="12" t="n">
        <v>45</v>
      </c>
      <c r="B51" s="27">
        <f>EDATE(Debts!$C$16,44)</f>
        <v>47665.0</v>
      </c>
      <c r="C51" s="12">
        <f>IF(T50&gt;0.005,1,0)</f>
        <v>0</v>
      </c>
      <c r="D51" s="16">
        <f>ROUND(MAX(0,(SUM(Debts!$D$20:$D$24)+N(Debts!$C$15))-(MIN(Debts!$D$20,G50+E51)+MIN(Debts!$D$21,J50+H51)+MIN(Debts!$D$22,M50+K51)+MIN(Debts!$D$23,P50+N51)+MIN(Debts!$D$24,S50+Q51))),2)*C51</f>
        <v>0</v>
      </c>
      <c r="E51" s="16">
        <f>ROUND(G50*Debts!$C$20/100/12,2)</f>
        <v>0</v>
      </c>
      <c r="F51" s="16">
        <f>MIN(G50+E51,Debts!$D$20+MAX(0,$D51-(0)))</f>
        <v>0</v>
      </c>
      <c r="G51" s="16">
        <f>ROUND(G50+E51-F51,2)</f>
        <v>0</v>
      </c>
      <c r="H51" s="16">
        <f>ROUND(J50*Debts!$C$21/100/12,2)</f>
        <v>0</v>
      </c>
      <c r="I51" s="16">
        <f>MIN(J50+H51,Debts!$D$21+MAX(0,$D51-((F51-MIN(Debts!$D$20,G50+E51)))))</f>
        <v>0</v>
      </c>
      <c r="J51" s="16">
        <f>ROUND(J50+H51-I51,2)</f>
        <v>0</v>
      </c>
      <c r="K51" s="16">
        <f>ROUND(M50*Debts!$C$22/100/12,2)</f>
        <v>0</v>
      </c>
      <c r="L51" s="16">
        <f>MIN(M50+K51,Debts!$D$22+MAX(0,$D51-((F51-MIN(Debts!$D$20,G50+E51))+(I51-MIN(Debts!$D$21,J50+H51)))))</f>
        <v>0</v>
      </c>
      <c r="M51" s="16">
        <f>ROUND(M50+K51-L51,2)</f>
        <v>0</v>
      </c>
      <c r="N51" s="16">
        <f>ROUND(P50*Debts!$C$23/100/12,2)</f>
        <v>0</v>
      </c>
      <c r="O51" s="16">
        <f>MIN(P50+N51,Debts!$D$23+MAX(0,$D51-((F51-MIN(Debts!$D$20,G50+E51))+(I51-MIN(Debts!$D$21,J50+H51))+(L51-MIN(Debts!$D$22,M50+K51)))))</f>
        <v>0</v>
      </c>
      <c r="P51" s="16">
        <f>ROUND(P50+N51-O51,2)</f>
        <v>0</v>
      </c>
      <c r="Q51" s="16">
        <f>ROUND(S50*Debts!$C$24/100/12,2)</f>
        <v>0</v>
      </c>
      <c r="R51" s="16">
        <f>MIN(S50+Q51,Debts!$D$24+MAX(0,$D51-((F51-MIN(Debts!$D$20,G50+E51))+(I51-MIN(Debts!$D$21,J50+H51))+(L51-MIN(Debts!$D$22,M50+K51))+(O51-MIN(Debts!$D$23,P50+N51)))))</f>
        <v>0</v>
      </c>
      <c r="S51" s="16">
        <f>ROUND(S50+Q51-R51,2)</f>
        <v>0</v>
      </c>
      <c r="T51" s="28">
        <f>G51+J51+M51+P51+S51</f>
        <v>0</v>
      </c>
      <c r="U51" s="16">
        <f>E51+H51+K51+N51+Q51</f>
        <v>0</v>
      </c>
      <c r="V51" s="16">
        <f>F51+I51+L51+O51+R51</f>
        <v>0</v>
      </c>
    </row>
    <row r="52">
      <c r="A52" s="12" t="n">
        <v>46</v>
      </c>
      <c r="B52" s="27">
        <f>EDATE(Debts!$C$16,45)</f>
        <v>47696.0</v>
      </c>
      <c r="C52" s="12">
        <f>IF(T51&gt;0.005,1,0)</f>
        <v>0</v>
      </c>
      <c r="D52" s="16">
        <f>ROUND(MAX(0,(SUM(Debts!$D$20:$D$24)+N(Debts!$C$15))-(MIN(Debts!$D$20,G51+E52)+MIN(Debts!$D$21,J51+H52)+MIN(Debts!$D$22,M51+K52)+MIN(Debts!$D$23,P51+N52)+MIN(Debts!$D$24,S51+Q52))),2)*C52</f>
        <v>0</v>
      </c>
      <c r="E52" s="16">
        <f>ROUND(G51*Debts!$C$20/100/12,2)</f>
        <v>0</v>
      </c>
      <c r="F52" s="16">
        <f>MIN(G51+E52,Debts!$D$20+MAX(0,$D52-(0)))</f>
        <v>0</v>
      </c>
      <c r="G52" s="16">
        <f>ROUND(G51+E52-F52,2)</f>
        <v>0</v>
      </c>
      <c r="H52" s="16">
        <f>ROUND(J51*Debts!$C$21/100/12,2)</f>
        <v>0</v>
      </c>
      <c r="I52" s="16">
        <f>MIN(J51+H52,Debts!$D$21+MAX(0,$D52-((F52-MIN(Debts!$D$20,G51+E52)))))</f>
        <v>0</v>
      </c>
      <c r="J52" s="16">
        <f>ROUND(J51+H52-I52,2)</f>
        <v>0</v>
      </c>
      <c r="K52" s="16">
        <f>ROUND(M51*Debts!$C$22/100/12,2)</f>
        <v>0</v>
      </c>
      <c r="L52" s="16">
        <f>MIN(M51+K52,Debts!$D$22+MAX(0,$D52-((F52-MIN(Debts!$D$20,G51+E52))+(I52-MIN(Debts!$D$21,J51+H52)))))</f>
        <v>0</v>
      </c>
      <c r="M52" s="16">
        <f>ROUND(M51+K52-L52,2)</f>
        <v>0</v>
      </c>
      <c r="N52" s="16">
        <f>ROUND(P51*Debts!$C$23/100/12,2)</f>
        <v>0</v>
      </c>
      <c r="O52" s="16">
        <f>MIN(P51+N52,Debts!$D$23+MAX(0,$D52-((F52-MIN(Debts!$D$20,G51+E52))+(I52-MIN(Debts!$D$21,J51+H52))+(L52-MIN(Debts!$D$22,M51+K52)))))</f>
        <v>0</v>
      </c>
      <c r="P52" s="16">
        <f>ROUND(P51+N52-O52,2)</f>
        <v>0</v>
      </c>
      <c r="Q52" s="16">
        <f>ROUND(S51*Debts!$C$24/100/12,2)</f>
        <v>0</v>
      </c>
      <c r="R52" s="16">
        <f>MIN(S51+Q52,Debts!$D$24+MAX(0,$D52-((F52-MIN(Debts!$D$20,G51+E52))+(I52-MIN(Debts!$D$21,J51+H52))+(L52-MIN(Debts!$D$22,M51+K52))+(O52-MIN(Debts!$D$23,P51+N52)))))</f>
        <v>0</v>
      </c>
      <c r="S52" s="16">
        <f>ROUND(S51+Q52-R52,2)</f>
        <v>0</v>
      </c>
      <c r="T52" s="28">
        <f>G52+J52+M52+P52+S52</f>
        <v>0</v>
      </c>
      <c r="U52" s="16">
        <f>E52+H52+K52+N52+Q52</f>
        <v>0</v>
      </c>
      <c r="V52" s="16">
        <f>F52+I52+L52+O52+R52</f>
        <v>0</v>
      </c>
    </row>
    <row r="53">
      <c r="A53" s="12" t="n">
        <v>47</v>
      </c>
      <c r="B53" s="27">
        <f>EDATE(Debts!$C$16,46)</f>
        <v>47727.0</v>
      </c>
      <c r="C53" s="12">
        <f>IF(T52&gt;0.005,1,0)</f>
        <v>0</v>
      </c>
      <c r="D53" s="16">
        <f>ROUND(MAX(0,(SUM(Debts!$D$20:$D$24)+N(Debts!$C$15))-(MIN(Debts!$D$20,G52+E53)+MIN(Debts!$D$21,J52+H53)+MIN(Debts!$D$22,M52+K53)+MIN(Debts!$D$23,P52+N53)+MIN(Debts!$D$24,S52+Q53))),2)*C53</f>
        <v>0</v>
      </c>
      <c r="E53" s="16">
        <f>ROUND(G52*Debts!$C$20/100/12,2)</f>
        <v>0</v>
      </c>
      <c r="F53" s="16">
        <f>MIN(G52+E53,Debts!$D$20+MAX(0,$D53-(0)))</f>
        <v>0</v>
      </c>
      <c r="G53" s="16">
        <f>ROUND(G52+E53-F53,2)</f>
        <v>0</v>
      </c>
      <c r="H53" s="16">
        <f>ROUND(J52*Debts!$C$21/100/12,2)</f>
        <v>0</v>
      </c>
      <c r="I53" s="16">
        <f>MIN(J52+H53,Debts!$D$21+MAX(0,$D53-((F53-MIN(Debts!$D$20,G52+E53)))))</f>
        <v>0</v>
      </c>
      <c r="J53" s="16">
        <f>ROUND(J52+H53-I53,2)</f>
        <v>0</v>
      </c>
      <c r="K53" s="16">
        <f>ROUND(M52*Debts!$C$22/100/12,2)</f>
        <v>0</v>
      </c>
      <c r="L53" s="16">
        <f>MIN(M52+K53,Debts!$D$22+MAX(0,$D53-((F53-MIN(Debts!$D$20,G52+E53))+(I53-MIN(Debts!$D$21,J52+H53)))))</f>
        <v>0</v>
      </c>
      <c r="M53" s="16">
        <f>ROUND(M52+K53-L53,2)</f>
        <v>0</v>
      </c>
      <c r="N53" s="16">
        <f>ROUND(P52*Debts!$C$23/100/12,2)</f>
        <v>0</v>
      </c>
      <c r="O53" s="16">
        <f>MIN(P52+N53,Debts!$D$23+MAX(0,$D53-((F53-MIN(Debts!$D$20,G52+E53))+(I53-MIN(Debts!$D$21,J52+H53))+(L53-MIN(Debts!$D$22,M52+K53)))))</f>
        <v>0</v>
      </c>
      <c r="P53" s="16">
        <f>ROUND(P52+N53-O53,2)</f>
        <v>0</v>
      </c>
      <c r="Q53" s="16">
        <f>ROUND(S52*Debts!$C$24/100/12,2)</f>
        <v>0</v>
      </c>
      <c r="R53" s="16">
        <f>MIN(S52+Q53,Debts!$D$24+MAX(0,$D53-((F53-MIN(Debts!$D$20,G52+E53))+(I53-MIN(Debts!$D$21,J52+H53))+(L53-MIN(Debts!$D$22,M52+K53))+(O53-MIN(Debts!$D$23,P52+N53)))))</f>
        <v>0</v>
      </c>
      <c r="S53" s="16">
        <f>ROUND(S52+Q53-R53,2)</f>
        <v>0</v>
      </c>
      <c r="T53" s="28">
        <f>G53+J53+M53+P53+S53</f>
        <v>0</v>
      </c>
      <c r="U53" s="16">
        <f>E53+H53+K53+N53+Q53</f>
        <v>0</v>
      </c>
      <c r="V53" s="16">
        <f>F53+I53+L53+O53+R53</f>
        <v>0</v>
      </c>
    </row>
    <row r="54">
      <c r="A54" s="12" t="n">
        <v>48</v>
      </c>
      <c r="B54" s="27">
        <f>EDATE(Debts!$C$16,47)</f>
        <v>47757.0</v>
      </c>
      <c r="C54" s="12">
        <f>IF(T53&gt;0.005,1,0)</f>
        <v>0</v>
      </c>
      <c r="D54" s="16">
        <f>ROUND(MAX(0,(SUM(Debts!$D$20:$D$24)+N(Debts!$C$15))-(MIN(Debts!$D$20,G53+E54)+MIN(Debts!$D$21,J53+H54)+MIN(Debts!$D$22,M53+K54)+MIN(Debts!$D$23,P53+N54)+MIN(Debts!$D$24,S53+Q54))),2)*C54</f>
        <v>0</v>
      </c>
      <c r="E54" s="16">
        <f>ROUND(G53*Debts!$C$20/100/12,2)</f>
        <v>0</v>
      </c>
      <c r="F54" s="16">
        <f>MIN(G53+E54,Debts!$D$20+MAX(0,$D54-(0)))</f>
        <v>0</v>
      </c>
      <c r="G54" s="16">
        <f>ROUND(G53+E54-F54,2)</f>
        <v>0</v>
      </c>
      <c r="H54" s="16">
        <f>ROUND(J53*Debts!$C$21/100/12,2)</f>
        <v>0</v>
      </c>
      <c r="I54" s="16">
        <f>MIN(J53+H54,Debts!$D$21+MAX(0,$D54-((F54-MIN(Debts!$D$20,G53+E54)))))</f>
        <v>0</v>
      </c>
      <c r="J54" s="16">
        <f>ROUND(J53+H54-I54,2)</f>
        <v>0</v>
      </c>
      <c r="K54" s="16">
        <f>ROUND(M53*Debts!$C$22/100/12,2)</f>
        <v>0</v>
      </c>
      <c r="L54" s="16">
        <f>MIN(M53+K54,Debts!$D$22+MAX(0,$D54-((F54-MIN(Debts!$D$20,G53+E54))+(I54-MIN(Debts!$D$21,J53+H54)))))</f>
        <v>0</v>
      </c>
      <c r="M54" s="16">
        <f>ROUND(M53+K54-L54,2)</f>
        <v>0</v>
      </c>
      <c r="N54" s="16">
        <f>ROUND(P53*Debts!$C$23/100/12,2)</f>
        <v>0</v>
      </c>
      <c r="O54" s="16">
        <f>MIN(P53+N54,Debts!$D$23+MAX(0,$D54-((F54-MIN(Debts!$D$20,G53+E54))+(I54-MIN(Debts!$D$21,J53+H54))+(L54-MIN(Debts!$D$22,M53+K54)))))</f>
        <v>0</v>
      </c>
      <c r="P54" s="16">
        <f>ROUND(P53+N54-O54,2)</f>
        <v>0</v>
      </c>
      <c r="Q54" s="16">
        <f>ROUND(S53*Debts!$C$24/100/12,2)</f>
        <v>0</v>
      </c>
      <c r="R54" s="16">
        <f>MIN(S53+Q54,Debts!$D$24+MAX(0,$D54-((F54-MIN(Debts!$D$20,G53+E54))+(I54-MIN(Debts!$D$21,J53+H54))+(L54-MIN(Debts!$D$22,M53+K54))+(O54-MIN(Debts!$D$23,P53+N54)))))</f>
        <v>0</v>
      </c>
      <c r="S54" s="16">
        <f>ROUND(S53+Q54-R54,2)</f>
        <v>0</v>
      </c>
      <c r="T54" s="28">
        <f>G54+J54+M54+P54+S54</f>
        <v>0</v>
      </c>
      <c r="U54" s="16">
        <f>E54+H54+K54+N54+Q54</f>
        <v>0</v>
      </c>
      <c r="V54" s="16">
        <f>F54+I54+L54+O54+R54</f>
        <v>0</v>
      </c>
    </row>
    <row r="55">
      <c r="A55" s="12" t="n">
        <v>49</v>
      </c>
      <c r="B55" s="27">
        <f>EDATE(Debts!$C$16,48)</f>
        <v>47788.0</v>
      </c>
      <c r="C55" s="12">
        <f>IF(T54&gt;0.005,1,0)</f>
        <v>0</v>
      </c>
      <c r="D55" s="16">
        <f>ROUND(MAX(0,(SUM(Debts!$D$20:$D$24)+N(Debts!$C$15))-(MIN(Debts!$D$20,G54+E55)+MIN(Debts!$D$21,J54+H55)+MIN(Debts!$D$22,M54+K55)+MIN(Debts!$D$23,P54+N55)+MIN(Debts!$D$24,S54+Q55))),2)*C55</f>
        <v>0</v>
      </c>
      <c r="E55" s="16">
        <f>ROUND(G54*Debts!$C$20/100/12,2)</f>
        <v>0</v>
      </c>
      <c r="F55" s="16">
        <f>MIN(G54+E55,Debts!$D$20+MAX(0,$D55-(0)))</f>
        <v>0</v>
      </c>
      <c r="G55" s="16">
        <f>ROUND(G54+E55-F55,2)</f>
        <v>0</v>
      </c>
      <c r="H55" s="16">
        <f>ROUND(J54*Debts!$C$21/100/12,2)</f>
        <v>0</v>
      </c>
      <c r="I55" s="16">
        <f>MIN(J54+H55,Debts!$D$21+MAX(0,$D55-((F55-MIN(Debts!$D$20,G54+E55)))))</f>
        <v>0</v>
      </c>
      <c r="J55" s="16">
        <f>ROUND(J54+H55-I55,2)</f>
        <v>0</v>
      </c>
      <c r="K55" s="16">
        <f>ROUND(M54*Debts!$C$22/100/12,2)</f>
        <v>0</v>
      </c>
      <c r="L55" s="16">
        <f>MIN(M54+K55,Debts!$D$22+MAX(0,$D55-((F55-MIN(Debts!$D$20,G54+E55))+(I55-MIN(Debts!$D$21,J54+H55)))))</f>
        <v>0</v>
      </c>
      <c r="M55" s="16">
        <f>ROUND(M54+K55-L55,2)</f>
        <v>0</v>
      </c>
      <c r="N55" s="16">
        <f>ROUND(P54*Debts!$C$23/100/12,2)</f>
        <v>0</v>
      </c>
      <c r="O55" s="16">
        <f>MIN(P54+N55,Debts!$D$23+MAX(0,$D55-((F55-MIN(Debts!$D$20,G54+E55))+(I55-MIN(Debts!$D$21,J54+H55))+(L55-MIN(Debts!$D$22,M54+K55)))))</f>
        <v>0</v>
      </c>
      <c r="P55" s="16">
        <f>ROUND(P54+N55-O55,2)</f>
        <v>0</v>
      </c>
      <c r="Q55" s="16">
        <f>ROUND(S54*Debts!$C$24/100/12,2)</f>
        <v>0</v>
      </c>
      <c r="R55" s="16">
        <f>MIN(S54+Q55,Debts!$D$24+MAX(0,$D55-((F55-MIN(Debts!$D$20,G54+E55))+(I55-MIN(Debts!$D$21,J54+H55))+(L55-MIN(Debts!$D$22,M54+K55))+(O55-MIN(Debts!$D$23,P54+N55)))))</f>
        <v>0</v>
      </c>
      <c r="S55" s="16">
        <f>ROUND(S54+Q55-R55,2)</f>
        <v>0</v>
      </c>
      <c r="T55" s="28">
        <f>G55+J55+M55+P55+S55</f>
        <v>0</v>
      </c>
      <c r="U55" s="16">
        <f>E55+H55+K55+N55+Q55</f>
        <v>0</v>
      </c>
      <c r="V55" s="16">
        <f>F55+I55+L55+O55+R55</f>
        <v>0</v>
      </c>
    </row>
    <row r="56">
      <c r="A56" s="12" t="n">
        <v>50</v>
      </c>
      <c r="B56" s="27">
        <f>EDATE(Debts!$C$16,49)</f>
        <v>47818.0</v>
      </c>
      <c r="C56" s="12">
        <f>IF(T55&gt;0.005,1,0)</f>
        <v>0</v>
      </c>
      <c r="D56" s="16">
        <f>ROUND(MAX(0,(SUM(Debts!$D$20:$D$24)+N(Debts!$C$15))-(MIN(Debts!$D$20,G55+E56)+MIN(Debts!$D$21,J55+H56)+MIN(Debts!$D$22,M55+K56)+MIN(Debts!$D$23,P55+N56)+MIN(Debts!$D$24,S55+Q56))),2)*C56</f>
        <v>0</v>
      </c>
      <c r="E56" s="16">
        <f>ROUND(G55*Debts!$C$20/100/12,2)</f>
        <v>0</v>
      </c>
      <c r="F56" s="16">
        <f>MIN(G55+E56,Debts!$D$20+MAX(0,$D56-(0)))</f>
        <v>0</v>
      </c>
      <c r="G56" s="16">
        <f>ROUND(G55+E56-F56,2)</f>
        <v>0</v>
      </c>
      <c r="H56" s="16">
        <f>ROUND(J55*Debts!$C$21/100/12,2)</f>
        <v>0</v>
      </c>
      <c r="I56" s="16">
        <f>MIN(J55+H56,Debts!$D$21+MAX(0,$D56-((F56-MIN(Debts!$D$20,G55+E56)))))</f>
        <v>0</v>
      </c>
      <c r="J56" s="16">
        <f>ROUND(J55+H56-I56,2)</f>
        <v>0</v>
      </c>
      <c r="K56" s="16">
        <f>ROUND(M55*Debts!$C$22/100/12,2)</f>
        <v>0</v>
      </c>
      <c r="L56" s="16">
        <f>MIN(M55+K56,Debts!$D$22+MAX(0,$D56-((F56-MIN(Debts!$D$20,G55+E56))+(I56-MIN(Debts!$D$21,J55+H56)))))</f>
        <v>0</v>
      </c>
      <c r="M56" s="16">
        <f>ROUND(M55+K56-L56,2)</f>
        <v>0</v>
      </c>
      <c r="N56" s="16">
        <f>ROUND(P55*Debts!$C$23/100/12,2)</f>
        <v>0</v>
      </c>
      <c r="O56" s="16">
        <f>MIN(P55+N56,Debts!$D$23+MAX(0,$D56-((F56-MIN(Debts!$D$20,G55+E56))+(I56-MIN(Debts!$D$21,J55+H56))+(L56-MIN(Debts!$D$22,M55+K56)))))</f>
        <v>0</v>
      </c>
      <c r="P56" s="16">
        <f>ROUND(P55+N56-O56,2)</f>
        <v>0</v>
      </c>
      <c r="Q56" s="16">
        <f>ROUND(S55*Debts!$C$24/100/12,2)</f>
        <v>0</v>
      </c>
      <c r="R56" s="16">
        <f>MIN(S55+Q56,Debts!$D$24+MAX(0,$D56-((F56-MIN(Debts!$D$20,G55+E56))+(I56-MIN(Debts!$D$21,J55+H56))+(L56-MIN(Debts!$D$22,M55+K56))+(O56-MIN(Debts!$D$23,P55+N56)))))</f>
        <v>0</v>
      </c>
      <c r="S56" s="16">
        <f>ROUND(S55+Q56-R56,2)</f>
        <v>0</v>
      </c>
      <c r="T56" s="28">
        <f>G56+J56+M56+P56+S56</f>
        <v>0</v>
      </c>
      <c r="U56" s="16">
        <f>E56+H56+K56+N56+Q56</f>
        <v>0</v>
      </c>
      <c r="V56" s="16">
        <f>F56+I56+L56+O56+R56</f>
        <v>0</v>
      </c>
    </row>
    <row r="57">
      <c r="A57" s="12" t="n">
        <v>51</v>
      </c>
      <c r="B57" s="27">
        <f>EDATE(Debts!$C$16,50)</f>
        <v>47849.0</v>
      </c>
      <c r="C57" s="12">
        <f>IF(T56&gt;0.005,1,0)</f>
        <v>0</v>
      </c>
      <c r="D57" s="16">
        <f>ROUND(MAX(0,(SUM(Debts!$D$20:$D$24)+N(Debts!$C$15))-(MIN(Debts!$D$20,G56+E57)+MIN(Debts!$D$21,J56+H57)+MIN(Debts!$D$22,M56+K57)+MIN(Debts!$D$23,P56+N57)+MIN(Debts!$D$24,S56+Q57))),2)*C57</f>
        <v>0</v>
      </c>
      <c r="E57" s="16">
        <f>ROUND(G56*Debts!$C$20/100/12,2)</f>
        <v>0</v>
      </c>
      <c r="F57" s="16">
        <f>MIN(G56+E57,Debts!$D$20+MAX(0,$D57-(0)))</f>
        <v>0</v>
      </c>
      <c r="G57" s="16">
        <f>ROUND(G56+E57-F57,2)</f>
        <v>0</v>
      </c>
      <c r="H57" s="16">
        <f>ROUND(J56*Debts!$C$21/100/12,2)</f>
        <v>0</v>
      </c>
      <c r="I57" s="16">
        <f>MIN(J56+H57,Debts!$D$21+MAX(0,$D57-((F57-MIN(Debts!$D$20,G56+E57)))))</f>
        <v>0</v>
      </c>
      <c r="J57" s="16">
        <f>ROUND(J56+H57-I57,2)</f>
        <v>0</v>
      </c>
      <c r="K57" s="16">
        <f>ROUND(M56*Debts!$C$22/100/12,2)</f>
        <v>0</v>
      </c>
      <c r="L57" s="16">
        <f>MIN(M56+K57,Debts!$D$22+MAX(0,$D57-((F57-MIN(Debts!$D$20,G56+E57))+(I57-MIN(Debts!$D$21,J56+H57)))))</f>
        <v>0</v>
      </c>
      <c r="M57" s="16">
        <f>ROUND(M56+K57-L57,2)</f>
        <v>0</v>
      </c>
      <c r="N57" s="16">
        <f>ROUND(P56*Debts!$C$23/100/12,2)</f>
        <v>0</v>
      </c>
      <c r="O57" s="16">
        <f>MIN(P56+N57,Debts!$D$23+MAX(0,$D57-((F57-MIN(Debts!$D$20,G56+E57))+(I57-MIN(Debts!$D$21,J56+H57))+(L57-MIN(Debts!$D$22,M56+K57)))))</f>
        <v>0</v>
      </c>
      <c r="P57" s="16">
        <f>ROUND(P56+N57-O57,2)</f>
        <v>0</v>
      </c>
      <c r="Q57" s="16">
        <f>ROUND(S56*Debts!$C$24/100/12,2)</f>
        <v>0</v>
      </c>
      <c r="R57" s="16">
        <f>MIN(S56+Q57,Debts!$D$24+MAX(0,$D57-((F57-MIN(Debts!$D$20,G56+E57))+(I57-MIN(Debts!$D$21,J56+H57))+(L57-MIN(Debts!$D$22,M56+K57))+(O57-MIN(Debts!$D$23,P56+N57)))))</f>
        <v>0</v>
      </c>
      <c r="S57" s="16">
        <f>ROUND(S56+Q57-R57,2)</f>
        <v>0</v>
      </c>
      <c r="T57" s="28">
        <f>G57+J57+M57+P57+S57</f>
        <v>0</v>
      </c>
      <c r="U57" s="16">
        <f>E57+H57+K57+N57+Q57</f>
        <v>0</v>
      </c>
      <c r="V57" s="16">
        <f>F57+I57+L57+O57+R57</f>
        <v>0</v>
      </c>
    </row>
    <row r="58">
      <c r="A58" s="12" t="n">
        <v>52</v>
      </c>
      <c r="B58" s="27">
        <f>EDATE(Debts!$C$16,51)</f>
        <v>47880.0</v>
      </c>
      <c r="C58" s="12">
        <f>IF(T57&gt;0.005,1,0)</f>
        <v>0</v>
      </c>
      <c r="D58" s="16">
        <f>ROUND(MAX(0,(SUM(Debts!$D$20:$D$24)+N(Debts!$C$15))-(MIN(Debts!$D$20,G57+E58)+MIN(Debts!$D$21,J57+H58)+MIN(Debts!$D$22,M57+K58)+MIN(Debts!$D$23,P57+N58)+MIN(Debts!$D$24,S57+Q58))),2)*C58</f>
        <v>0</v>
      </c>
      <c r="E58" s="16">
        <f>ROUND(G57*Debts!$C$20/100/12,2)</f>
        <v>0</v>
      </c>
      <c r="F58" s="16">
        <f>MIN(G57+E58,Debts!$D$20+MAX(0,$D58-(0)))</f>
        <v>0</v>
      </c>
      <c r="G58" s="16">
        <f>ROUND(G57+E58-F58,2)</f>
        <v>0</v>
      </c>
      <c r="H58" s="16">
        <f>ROUND(J57*Debts!$C$21/100/12,2)</f>
        <v>0</v>
      </c>
      <c r="I58" s="16">
        <f>MIN(J57+H58,Debts!$D$21+MAX(0,$D58-((F58-MIN(Debts!$D$20,G57+E58)))))</f>
        <v>0</v>
      </c>
      <c r="J58" s="16">
        <f>ROUND(J57+H58-I58,2)</f>
        <v>0</v>
      </c>
      <c r="K58" s="16">
        <f>ROUND(M57*Debts!$C$22/100/12,2)</f>
        <v>0</v>
      </c>
      <c r="L58" s="16">
        <f>MIN(M57+K58,Debts!$D$22+MAX(0,$D58-((F58-MIN(Debts!$D$20,G57+E58))+(I58-MIN(Debts!$D$21,J57+H58)))))</f>
        <v>0</v>
      </c>
      <c r="M58" s="16">
        <f>ROUND(M57+K58-L58,2)</f>
        <v>0</v>
      </c>
      <c r="N58" s="16">
        <f>ROUND(P57*Debts!$C$23/100/12,2)</f>
        <v>0</v>
      </c>
      <c r="O58" s="16">
        <f>MIN(P57+N58,Debts!$D$23+MAX(0,$D58-((F58-MIN(Debts!$D$20,G57+E58))+(I58-MIN(Debts!$D$21,J57+H58))+(L58-MIN(Debts!$D$22,M57+K58)))))</f>
        <v>0</v>
      </c>
      <c r="P58" s="16">
        <f>ROUND(P57+N58-O58,2)</f>
        <v>0</v>
      </c>
      <c r="Q58" s="16">
        <f>ROUND(S57*Debts!$C$24/100/12,2)</f>
        <v>0</v>
      </c>
      <c r="R58" s="16">
        <f>MIN(S57+Q58,Debts!$D$24+MAX(0,$D58-((F58-MIN(Debts!$D$20,G57+E58))+(I58-MIN(Debts!$D$21,J57+H58))+(L58-MIN(Debts!$D$22,M57+K58))+(O58-MIN(Debts!$D$23,P57+N58)))))</f>
        <v>0</v>
      </c>
      <c r="S58" s="16">
        <f>ROUND(S57+Q58-R58,2)</f>
        <v>0</v>
      </c>
      <c r="T58" s="28">
        <f>G58+J58+M58+P58+S58</f>
        <v>0</v>
      </c>
      <c r="U58" s="16">
        <f>E58+H58+K58+N58+Q58</f>
        <v>0</v>
      </c>
      <c r="V58" s="16">
        <f>F58+I58+L58+O58+R58</f>
        <v>0</v>
      </c>
    </row>
    <row r="59">
      <c r="A59" s="12" t="n">
        <v>53</v>
      </c>
      <c r="B59" s="27">
        <f>EDATE(Debts!$C$16,52)</f>
        <v>47908.0</v>
      </c>
      <c r="C59" s="12">
        <f>IF(T58&gt;0.005,1,0)</f>
        <v>0</v>
      </c>
      <c r="D59" s="16">
        <f>ROUND(MAX(0,(SUM(Debts!$D$20:$D$24)+N(Debts!$C$15))-(MIN(Debts!$D$20,G58+E59)+MIN(Debts!$D$21,J58+H59)+MIN(Debts!$D$22,M58+K59)+MIN(Debts!$D$23,P58+N59)+MIN(Debts!$D$24,S58+Q59))),2)*C59</f>
        <v>0</v>
      </c>
      <c r="E59" s="16">
        <f>ROUND(G58*Debts!$C$20/100/12,2)</f>
        <v>0</v>
      </c>
      <c r="F59" s="16">
        <f>MIN(G58+E59,Debts!$D$20+MAX(0,$D59-(0)))</f>
        <v>0</v>
      </c>
      <c r="G59" s="16">
        <f>ROUND(G58+E59-F59,2)</f>
        <v>0</v>
      </c>
      <c r="H59" s="16">
        <f>ROUND(J58*Debts!$C$21/100/12,2)</f>
        <v>0</v>
      </c>
      <c r="I59" s="16">
        <f>MIN(J58+H59,Debts!$D$21+MAX(0,$D59-((F59-MIN(Debts!$D$20,G58+E59)))))</f>
        <v>0</v>
      </c>
      <c r="J59" s="16">
        <f>ROUND(J58+H59-I59,2)</f>
        <v>0</v>
      </c>
      <c r="K59" s="16">
        <f>ROUND(M58*Debts!$C$22/100/12,2)</f>
        <v>0</v>
      </c>
      <c r="L59" s="16">
        <f>MIN(M58+K59,Debts!$D$22+MAX(0,$D59-((F59-MIN(Debts!$D$20,G58+E59))+(I59-MIN(Debts!$D$21,J58+H59)))))</f>
        <v>0</v>
      </c>
      <c r="M59" s="16">
        <f>ROUND(M58+K59-L59,2)</f>
        <v>0</v>
      </c>
      <c r="N59" s="16">
        <f>ROUND(P58*Debts!$C$23/100/12,2)</f>
        <v>0</v>
      </c>
      <c r="O59" s="16">
        <f>MIN(P58+N59,Debts!$D$23+MAX(0,$D59-((F59-MIN(Debts!$D$20,G58+E59))+(I59-MIN(Debts!$D$21,J58+H59))+(L59-MIN(Debts!$D$22,M58+K59)))))</f>
        <v>0</v>
      </c>
      <c r="P59" s="16">
        <f>ROUND(P58+N59-O59,2)</f>
        <v>0</v>
      </c>
      <c r="Q59" s="16">
        <f>ROUND(S58*Debts!$C$24/100/12,2)</f>
        <v>0</v>
      </c>
      <c r="R59" s="16">
        <f>MIN(S58+Q59,Debts!$D$24+MAX(0,$D59-((F59-MIN(Debts!$D$20,G58+E59))+(I59-MIN(Debts!$D$21,J58+H59))+(L59-MIN(Debts!$D$22,M58+K59))+(O59-MIN(Debts!$D$23,P58+N59)))))</f>
        <v>0</v>
      </c>
      <c r="S59" s="16">
        <f>ROUND(S58+Q59-R59,2)</f>
        <v>0</v>
      </c>
      <c r="T59" s="28">
        <f>G59+J59+M59+P59+S59</f>
        <v>0</v>
      </c>
      <c r="U59" s="16">
        <f>E59+H59+K59+N59+Q59</f>
        <v>0</v>
      </c>
      <c r="V59" s="16">
        <f>F59+I59+L59+O59+R59</f>
        <v>0</v>
      </c>
    </row>
    <row r="60">
      <c r="A60" s="12" t="n">
        <v>54</v>
      </c>
      <c r="B60" s="27">
        <f>EDATE(Debts!$C$16,53)</f>
        <v>47939.0</v>
      </c>
      <c r="C60" s="12">
        <f>IF(T59&gt;0.005,1,0)</f>
        <v>0</v>
      </c>
      <c r="D60" s="16">
        <f>ROUND(MAX(0,(SUM(Debts!$D$20:$D$24)+N(Debts!$C$15))-(MIN(Debts!$D$20,G59+E60)+MIN(Debts!$D$21,J59+H60)+MIN(Debts!$D$22,M59+K60)+MIN(Debts!$D$23,P59+N60)+MIN(Debts!$D$24,S59+Q60))),2)*C60</f>
        <v>0</v>
      </c>
      <c r="E60" s="16">
        <f>ROUND(G59*Debts!$C$20/100/12,2)</f>
        <v>0</v>
      </c>
      <c r="F60" s="16">
        <f>MIN(G59+E60,Debts!$D$20+MAX(0,$D60-(0)))</f>
        <v>0</v>
      </c>
      <c r="G60" s="16">
        <f>ROUND(G59+E60-F60,2)</f>
        <v>0</v>
      </c>
      <c r="H60" s="16">
        <f>ROUND(J59*Debts!$C$21/100/12,2)</f>
        <v>0</v>
      </c>
      <c r="I60" s="16">
        <f>MIN(J59+H60,Debts!$D$21+MAX(0,$D60-((F60-MIN(Debts!$D$20,G59+E60)))))</f>
        <v>0</v>
      </c>
      <c r="J60" s="16">
        <f>ROUND(J59+H60-I60,2)</f>
        <v>0</v>
      </c>
      <c r="K60" s="16">
        <f>ROUND(M59*Debts!$C$22/100/12,2)</f>
        <v>0</v>
      </c>
      <c r="L60" s="16">
        <f>MIN(M59+K60,Debts!$D$22+MAX(0,$D60-((F60-MIN(Debts!$D$20,G59+E60))+(I60-MIN(Debts!$D$21,J59+H60)))))</f>
        <v>0</v>
      </c>
      <c r="M60" s="16">
        <f>ROUND(M59+K60-L60,2)</f>
        <v>0</v>
      </c>
      <c r="N60" s="16">
        <f>ROUND(P59*Debts!$C$23/100/12,2)</f>
        <v>0</v>
      </c>
      <c r="O60" s="16">
        <f>MIN(P59+N60,Debts!$D$23+MAX(0,$D60-((F60-MIN(Debts!$D$20,G59+E60))+(I60-MIN(Debts!$D$21,J59+H60))+(L60-MIN(Debts!$D$22,M59+K60)))))</f>
        <v>0</v>
      </c>
      <c r="P60" s="16">
        <f>ROUND(P59+N60-O60,2)</f>
        <v>0</v>
      </c>
      <c r="Q60" s="16">
        <f>ROUND(S59*Debts!$C$24/100/12,2)</f>
        <v>0</v>
      </c>
      <c r="R60" s="16">
        <f>MIN(S59+Q60,Debts!$D$24+MAX(0,$D60-((F60-MIN(Debts!$D$20,G59+E60))+(I60-MIN(Debts!$D$21,J59+H60))+(L60-MIN(Debts!$D$22,M59+K60))+(O60-MIN(Debts!$D$23,P59+N60)))))</f>
        <v>0</v>
      </c>
      <c r="S60" s="16">
        <f>ROUND(S59+Q60-R60,2)</f>
        <v>0</v>
      </c>
      <c r="T60" s="28">
        <f>G60+J60+M60+P60+S60</f>
        <v>0</v>
      </c>
      <c r="U60" s="16">
        <f>E60+H60+K60+N60+Q60</f>
        <v>0</v>
      </c>
      <c r="V60" s="16">
        <f>F60+I60+L60+O60+R60</f>
        <v>0</v>
      </c>
    </row>
    <row r="61">
      <c r="A61" s="12" t="n">
        <v>55</v>
      </c>
      <c r="B61" s="27">
        <f>EDATE(Debts!$C$16,54)</f>
        <v>47969.0</v>
      </c>
      <c r="C61" s="12">
        <f>IF(T60&gt;0.005,1,0)</f>
        <v>0</v>
      </c>
      <c r="D61" s="16">
        <f>ROUND(MAX(0,(SUM(Debts!$D$20:$D$24)+N(Debts!$C$15))-(MIN(Debts!$D$20,G60+E61)+MIN(Debts!$D$21,J60+H61)+MIN(Debts!$D$22,M60+K61)+MIN(Debts!$D$23,P60+N61)+MIN(Debts!$D$24,S60+Q61))),2)*C61</f>
        <v>0</v>
      </c>
      <c r="E61" s="16">
        <f>ROUND(G60*Debts!$C$20/100/12,2)</f>
        <v>0</v>
      </c>
      <c r="F61" s="16">
        <f>MIN(G60+E61,Debts!$D$20+MAX(0,$D61-(0)))</f>
        <v>0</v>
      </c>
      <c r="G61" s="16">
        <f>ROUND(G60+E61-F61,2)</f>
        <v>0</v>
      </c>
      <c r="H61" s="16">
        <f>ROUND(J60*Debts!$C$21/100/12,2)</f>
        <v>0</v>
      </c>
      <c r="I61" s="16">
        <f>MIN(J60+H61,Debts!$D$21+MAX(0,$D61-((F61-MIN(Debts!$D$20,G60+E61)))))</f>
        <v>0</v>
      </c>
      <c r="J61" s="16">
        <f>ROUND(J60+H61-I61,2)</f>
        <v>0</v>
      </c>
      <c r="K61" s="16">
        <f>ROUND(M60*Debts!$C$22/100/12,2)</f>
        <v>0</v>
      </c>
      <c r="L61" s="16">
        <f>MIN(M60+K61,Debts!$D$22+MAX(0,$D61-((F61-MIN(Debts!$D$20,G60+E61))+(I61-MIN(Debts!$D$21,J60+H61)))))</f>
        <v>0</v>
      </c>
      <c r="M61" s="16">
        <f>ROUND(M60+K61-L61,2)</f>
        <v>0</v>
      </c>
      <c r="N61" s="16">
        <f>ROUND(P60*Debts!$C$23/100/12,2)</f>
        <v>0</v>
      </c>
      <c r="O61" s="16">
        <f>MIN(P60+N61,Debts!$D$23+MAX(0,$D61-((F61-MIN(Debts!$D$20,G60+E61))+(I61-MIN(Debts!$D$21,J60+H61))+(L61-MIN(Debts!$D$22,M60+K61)))))</f>
        <v>0</v>
      </c>
      <c r="P61" s="16">
        <f>ROUND(P60+N61-O61,2)</f>
        <v>0</v>
      </c>
      <c r="Q61" s="16">
        <f>ROUND(S60*Debts!$C$24/100/12,2)</f>
        <v>0</v>
      </c>
      <c r="R61" s="16">
        <f>MIN(S60+Q61,Debts!$D$24+MAX(0,$D61-((F61-MIN(Debts!$D$20,G60+E61))+(I61-MIN(Debts!$D$21,J60+H61))+(L61-MIN(Debts!$D$22,M60+K61))+(O61-MIN(Debts!$D$23,P60+N61)))))</f>
        <v>0</v>
      </c>
      <c r="S61" s="16">
        <f>ROUND(S60+Q61-R61,2)</f>
        <v>0</v>
      </c>
      <c r="T61" s="28">
        <f>G61+J61+M61+P61+S61</f>
        <v>0</v>
      </c>
      <c r="U61" s="16">
        <f>E61+H61+K61+N61+Q61</f>
        <v>0</v>
      </c>
      <c r="V61" s="16">
        <f>F61+I61+L61+O61+R61</f>
        <v>0</v>
      </c>
    </row>
    <row r="62">
      <c r="A62" s="12" t="n">
        <v>56</v>
      </c>
      <c r="B62" s="27">
        <f>EDATE(Debts!$C$16,55)</f>
        <v>48000.0</v>
      </c>
      <c r="C62" s="12">
        <f>IF(T61&gt;0.005,1,0)</f>
        <v>0</v>
      </c>
      <c r="D62" s="16">
        <f>ROUND(MAX(0,(SUM(Debts!$D$20:$D$24)+N(Debts!$C$15))-(MIN(Debts!$D$20,G61+E62)+MIN(Debts!$D$21,J61+H62)+MIN(Debts!$D$22,M61+K62)+MIN(Debts!$D$23,P61+N62)+MIN(Debts!$D$24,S61+Q62))),2)*C62</f>
        <v>0</v>
      </c>
      <c r="E62" s="16">
        <f>ROUND(G61*Debts!$C$20/100/12,2)</f>
        <v>0</v>
      </c>
      <c r="F62" s="16">
        <f>MIN(G61+E62,Debts!$D$20+MAX(0,$D62-(0)))</f>
        <v>0</v>
      </c>
      <c r="G62" s="16">
        <f>ROUND(G61+E62-F62,2)</f>
        <v>0</v>
      </c>
      <c r="H62" s="16">
        <f>ROUND(J61*Debts!$C$21/100/12,2)</f>
        <v>0</v>
      </c>
      <c r="I62" s="16">
        <f>MIN(J61+H62,Debts!$D$21+MAX(0,$D62-((F62-MIN(Debts!$D$20,G61+E62)))))</f>
        <v>0</v>
      </c>
      <c r="J62" s="16">
        <f>ROUND(J61+H62-I62,2)</f>
        <v>0</v>
      </c>
      <c r="K62" s="16">
        <f>ROUND(M61*Debts!$C$22/100/12,2)</f>
        <v>0</v>
      </c>
      <c r="L62" s="16">
        <f>MIN(M61+K62,Debts!$D$22+MAX(0,$D62-((F62-MIN(Debts!$D$20,G61+E62))+(I62-MIN(Debts!$D$21,J61+H62)))))</f>
        <v>0</v>
      </c>
      <c r="M62" s="16">
        <f>ROUND(M61+K62-L62,2)</f>
        <v>0</v>
      </c>
      <c r="N62" s="16">
        <f>ROUND(P61*Debts!$C$23/100/12,2)</f>
        <v>0</v>
      </c>
      <c r="O62" s="16">
        <f>MIN(P61+N62,Debts!$D$23+MAX(0,$D62-((F62-MIN(Debts!$D$20,G61+E62))+(I62-MIN(Debts!$D$21,J61+H62))+(L62-MIN(Debts!$D$22,M61+K62)))))</f>
        <v>0</v>
      </c>
      <c r="P62" s="16">
        <f>ROUND(P61+N62-O62,2)</f>
        <v>0</v>
      </c>
      <c r="Q62" s="16">
        <f>ROUND(S61*Debts!$C$24/100/12,2)</f>
        <v>0</v>
      </c>
      <c r="R62" s="16">
        <f>MIN(S61+Q62,Debts!$D$24+MAX(0,$D62-((F62-MIN(Debts!$D$20,G61+E62))+(I62-MIN(Debts!$D$21,J61+H62))+(L62-MIN(Debts!$D$22,M61+K62))+(O62-MIN(Debts!$D$23,P61+N62)))))</f>
        <v>0</v>
      </c>
      <c r="S62" s="16">
        <f>ROUND(S61+Q62-R62,2)</f>
        <v>0</v>
      </c>
      <c r="T62" s="28">
        <f>G62+J62+M62+P62+S62</f>
        <v>0</v>
      </c>
      <c r="U62" s="16">
        <f>E62+H62+K62+N62+Q62</f>
        <v>0</v>
      </c>
      <c r="V62" s="16">
        <f>F62+I62+L62+O62+R62</f>
        <v>0</v>
      </c>
    </row>
    <row r="63">
      <c r="A63" s="12" t="n">
        <v>57</v>
      </c>
      <c r="B63" s="27">
        <f>EDATE(Debts!$C$16,56)</f>
        <v>48030.0</v>
      </c>
      <c r="C63" s="12">
        <f>IF(T62&gt;0.005,1,0)</f>
        <v>0</v>
      </c>
      <c r="D63" s="16">
        <f>ROUND(MAX(0,(SUM(Debts!$D$20:$D$24)+N(Debts!$C$15))-(MIN(Debts!$D$20,G62+E63)+MIN(Debts!$D$21,J62+H63)+MIN(Debts!$D$22,M62+K63)+MIN(Debts!$D$23,P62+N63)+MIN(Debts!$D$24,S62+Q63))),2)*C63</f>
        <v>0</v>
      </c>
      <c r="E63" s="16">
        <f>ROUND(G62*Debts!$C$20/100/12,2)</f>
        <v>0</v>
      </c>
      <c r="F63" s="16">
        <f>MIN(G62+E63,Debts!$D$20+MAX(0,$D63-(0)))</f>
        <v>0</v>
      </c>
      <c r="G63" s="16">
        <f>ROUND(G62+E63-F63,2)</f>
        <v>0</v>
      </c>
      <c r="H63" s="16">
        <f>ROUND(J62*Debts!$C$21/100/12,2)</f>
        <v>0</v>
      </c>
      <c r="I63" s="16">
        <f>MIN(J62+H63,Debts!$D$21+MAX(0,$D63-((F63-MIN(Debts!$D$20,G62+E63)))))</f>
        <v>0</v>
      </c>
      <c r="J63" s="16">
        <f>ROUND(J62+H63-I63,2)</f>
        <v>0</v>
      </c>
      <c r="K63" s="16">
        <f>ROUND(M62*Debts!$C$22/100/12,2)</f>
        <v>0</v>
      </c>
      <c r="L63" s="16">
        <f>MIN(M62+K63,Debts!$D$22+MAX(0,$D63-((F63-MIN(Debts!$D$20,G62+E63))+(I63-MIN(Debts!$D$21,J62+H63)))))</f>
        <v>0</v>
      </c>
      <c r="M63" s="16">
        <f>ROUND(M62+K63-L63,2)</f>
        <v>0</v>
      </c>
      <c r="N63" s="16">
        <f>ROUND(P62*Debts!$C$23/100/12,2)</f>
        <v>0</v>
      </c>
      <c r="O63" s="16">
        <f>MIN(P62+N63,Debts!$D$23+MAX(0,$D63-((F63-MIN(Debts!$D$20,G62+E63))+(I63-MIN(Debts!$D$21,J62+H63))+(L63-MIN(Debts!$D$22,M62+K63)))))</f>
        <v>0</v>
      </c>
      <c r="P63" s="16">
        <f>ROUND(P62+N63-O63,2)</f>
        <v>0</v>
      </c>
      <c r="Q63" s="16">
        <f>ROUND(S62*Debts!$C$24/100/12,2)</f>
        <v>0</v>
      </c>
      <c r="R63" s="16">
        <f>MIN(S62+Q63,Debts!$D$24+MAX(0,$D63-((F63-MIN(Debts!$D$20,G62+E63))+(I63-MIN(Debts!$D$21,J62+H63))+(L63-MIN(Debts!$D$22,M62+K63))+(O63-MIN(Debts!$D$23,P62+N63)))))</f>
        <v>0</v>
      </c>
      <c r="S63" s="16">
        <f>ROUND(S62+Q63-R63,2)</f>
        <v>0</v>
      </c>
      <c r="T63" s="28">
        <f>G63+J63+M63+P63+S63</f>
        <v>0</v>
      </c>
      <c r="U63" s="16">
        <f>E63+H63+K63+N63+Q63</f>
        <v>0</v>
      </c>
      <c r="V63" s="16">
        <f>F63+I63+L63+O63+R63</f>
        <v>0</v>
      </c>
    </row>
    <row r="64">
      <c r="A64" s="12" t="n">
        <v>58</v>
      </c>
      <c r="B64" s="27">
        <f>EDATE(Debts!$C$16,57)</f>
        <v>48061.0</v>
      </c>
      <c r="C64" s="12">
        <f>IF(T63&gt;0.005,1,0)</f>
        <v>0</v>
      </c>
      <c r="D64" s="16">
        <f>ROUND(MAX(0,(SUM(Debts!$D$20:$D$24)+N(Debts!$C$15))-(MIN(Debts!$D$20,G63+E64)+MIN(Debts!$D$21,J63+H64)+MIN(Debts!$D$22,M63+K64)+MIN(Debts!$D$23,P63+N64)+MIN(Debts!$D$24,S63+Q64))),2)*C64</f>
        <v>0</v>
      </c>
      <c r="E64" s="16">
        <f>ROUND(G63*Debts!$C$20/100/12,2)</f>
        <v>0</v>
      </c>
      <c r="F64" s="16">
        <f>MIN(G63+E64,Debts!$D$20+MAX(0,$D64-(0)))</f>
        <v>0</v>
      </c>
      <c r="G64" s="16">
        <f>ROUND(G63+E64-F64,2)</f>
        <v>0</v>
      </c>
      <c r="H64" s="16">
        <f>ROUND(J63*Debts!$C$21/100/12,2)</f>
        <v>0</v>
      </c>
      <c r="I64" s="16">
        <f>MIN(J63+H64,Debts!$D$21+MAX(0,$D64-((F64-MIN(Debts!$D$20,G63+E64)))))</f>
        <v>0</v>
      </c>
      <c r="J64" s="16">
        <f>ROUND(J63+H64-I64,2)</f>
        <v>0</v>
      </c>
      <c r="K64" s="16">
        <f>ROUND(M63*Debts!$C$22/100/12,2)</f>
        <v>0</v>
      </c>
      <c r="L64" s="16">
        <f>MIN(M63+K64,Debts!$D$22+MAX(0,$D64-((F64-MIN(Debts!$D$20,G63+E64))+(I64-MIN(Debts!$D$21,J63+H64)))))</f>
        <v>0</v>
      </c>
      <c r="M64" s="16">
        <f>ROUND(M63+K64-L64,2)</f>
        <v>0</v>
      </c>
      <c r="N64" s="16">
        <f>ROUND(P63*Debts!$C$23/100/12,2)</f>
        <v>0</v>
      </c>
      <c r="O64" s="16">
        <f>MIN(P63+N64,Debts!$D$23+MAX(0,$D64-((F64-MIN(Debts!$D$20,G63+E64))+(I64-MIN(Debts!$D$21,J63+H64))+(L64-MIN(Debts!$D$22,M63+K64)))))</f>
        <v>0</v>
      </c>
      <c r="P64" s="16">
        <f>ROUND(P63+N64-O64,2)</f>
        <v>0</v>
      </c>
      <c r="Q64" s="16">
        <f>ROUND(S63*Debts!$C$24/100/12,2)</f>
        <v>0</v>
      </c>
      <c r="R64" s="16">
        <f>MIN(S63+Q64,Debts!$D$24+MAX(0,$D64-((F64-MIN(Debts!$D$20,G63+E64))+(I64-MIN(Debts!$D$21,J63+H64))+(L64-MIN(Debts!$D$22,M63+K64))+(O64-MIN(Debts!$D$23,P63+N64)))))</f>
        <v>0</v>
      </c>
      <c r="S64" s="16">
        <f>ROUND(S63+Q64-R64,2)</f>
        <v>0</v>
      </c>
      <c r="T64" s="28">
        <f>G64+J64+M64+P64+S64</f>
        <v>0</v>
      </c>
      <c r="U64" s="16">
        <f>E64+H64+K64+N64+Q64</f>
        <v>0</v>
      </c>
      <c r="V64" s="16">
        <f>F64+I64+L64+O64+R64</f>
        <v>0</v>
      </c>
    </row>
    <row r="65">
      <c r="A65" s="12" t="n">
        <v>59</v>
      </c>
      <c r="B65" s="27">
        <f>EDATE(Debts!$C$16,58)</f>
        <v>48092.0</v>
      </c>
      <c r="C65" s="12">
        <f>IF(T64&gt;0.005,1,0)</f>
        <v>0</v>
      </c>
      <c r="D65" s="16">
        <f>ROUND(MAX(0,(SUM(Debts!$D$20:$D$24)+N(Debts!$C$15))-(MIN(Debts!$D$20,G64+E65)+MIN(Debts!$D$21,J64+H65)+MIN(Debts!$D$22,M64+K65)+MIN(Debts!$D$23,P64+N65)+MIN(Debts!$D$24,S64+Q65))),2)*C65</f>
        <v>0</v>
      </c>
      <c r="E65" s="16">
        <f>ROUND(G64*Debts!$C$20/100/12,2)</f>
        <v>0</v>
      </c>
      <c r="F65" s="16">
        <f>MIN(G64+E65,Debts!$D$20+MAX(0,$D65-(0)))</f>
        <v>0</v>
      </c>
      <c r="G65" s="16">
        <f>ROUND(G64+E65-F65,2)</f>
        <v>0</v>
      </c>
      <c r="H65" s="16">
        <f>ROUND(J64*Debts!$C$21/100/12,2)</f>
        <v>0</v>
      </c>
      <c r="I65" s="16">
        <f>MIN(J64+H65,Debts!$D$21+MAX(0,$D65-((F65-MIN(Debts!$D$20,G64+E65)))))</f>
        <v>0</v>
      </c>
      <c r="J65" s="16">
        <f>ROUND(J64+H65-I65,2)</f>
        <v>0</v>
      </c>
      <c r="K65" s="16">
        <f>ROUND(M64*Debts!$C$22/100/12,2)</f>
        <v>0</v>
      </c>
      <c r="L65" s="16">
        <f>MIN(M64+K65,Debts!$D$22+MAX(0,$D65-((F65-MIN(Debts!$D$20,G64+E65))+(I65-MIN(Debts!$D$21,J64+H65)))))</f>
        <v>0</v>
      </c>
      <c r="M65" s="16">
        <f>ROUND(M64+K65-L65,2)</f>
        <v>0</v>
      </c>
      <c r="N65" s="16">
        <f>ROUND(P64*Debts!$C$23/100/12,2)</f>
        <v>0</v>
      </c>
      <c r="O65" s="16">
        <f>MIN(P64+N65,Debts!$D$23+MAX(0,$D65-((F65-MIN(Debts!$D$20,G64+E65))+(I65-MIN(Debts!$D$21,J64+H65))+(L65-MIN(Debts!$D$22,M64+K65)))))</f>
        <v>0</v>
      </c>
      <c r="P65" s="16">
        <f>ROUND(P64+N65-O65,2)</f>
        <v>0</v>
      </c>
      <c r="Q65" s="16">
        <f>ROUND(S64*Debts!$C$24/100/12,2)</f>
        <v>0</v>
      </c>
      <c r="R65" s="16">
        <f>MIN(S64+Q65,Debts!$D$24+MAX(0,$D65-((F65-MIN(Debts!$D$20,G64+E65))+(I65-MIN(Debts!$D$21,J64+H65))+(L65-MIN(Debts!$D$22,M64+K65))+(O65-MIN(Debts!$D$23,P64+N65)))))</f>
        <v>0</v>
      </c>
      <c r="S65" s="16">
        <f>ROUND(S64+Q65-R65,2)</f>
        <v>0</v>
      </c>
      <c r="T65" s="28">
        <f>G65+J65+M65+P65+S65</f>
        <v>0</v>
      </c>
      <c r="U65" s="16">
        <f>E65+H65+K65+N65+Q65</f>
        <v>0</v>
      </c>
      <c r="V65" s="16">
        <f>F65+I65+L65+O65+R65</f>
        <v>0</v>
      </c>
    </row>
    <row r="66">
      <c r="A66" s="12" t="n">
        <v>60</v>
      </c>
      <c r="B66" s="27">
        <f>EDATE(Debts!$C$16,59)</f>
        <v>48122.0</v>
      </c>
      <c r="C66" s="12">
        <f>IF(T65&gt;0.005,1,0)</f>
        <v>0</v>
      </c>
      <c r="D66" s="16">
        <f>ROUND(MAX(0,(SUM(Debts!$D$20:$D$24)+N(Debts!$C$15))-(MIN(Debts!$D$20,G65+E66)+MIN(Debts!$D$21,J65+H66)+MIN(Debts!$D$22,M65+K66)+MIN(Debts!$D$23,P65+N66)+MIN(Debts!$D$24,S65+Q66))),2)*C66</f>
        <v>0</v>
      </c>
      <c r="E66" s="16">
        <f>ROUND(G65*Debts!$C$20/100/12,2)</f>
        <v>0</v>
      </c>
      <c r="F66" s="16">
        <f>MIN(G65+E66,Debts!$D$20+MAX(0,$D66-(0)))</f>
        <v>0</v>
      </c>
      <c r="G66" s="16">
        <f>ROUND(G65+E66-F66,2)</f>
        <v>0</v>
      </c>
      <c r="H66" s="16">
        <f>ROUND(J65*Debts!$C$21/100/12,2)</f>
        <v>0</v>
      </c>
      <c r="I66" s="16">
        <f>MIN(J65+H66,Debts!$D$21+MAX(0,$D66-((F66-MIN(Debts!$D$20,G65+E66)))))</f>
        <v>0</v>
      </c>
      <c r="J66" s="16">
        <f>ROUND(J65+H66-I66,2)</f>
        <v>0</v>
      </c>
      <c r="K66" s="16">
        <f>ROUND(M65*Debts!$C$22/100/12,2)</f>
        <v>0</v>
      </c>
      <c r="L66" s="16">
        <f>MIN(M65+K66,Debts!$D$22+MAX(0,$D66-((F66-MIN(Debts!$D$20,G65+E66))+(I66-MIN(Debts!$D$21,J65+H66)))))</f>
        <v>0</v>
      </c>
      <c r="M66" s="16">
        <f>ROUND(M65+K66-L66,2)</f>
        <v>0</v>
      </c>
      <c r="N66" s="16">
        <f>ROUND(P65*Debts!$C$23/100/12,2)</f>
        <v>0</v>
      </c>
      <c r="O66" s="16">
        <f>MIN(P65+N66,Debts!$D$23+MAX(0,$D66-((F66-MIN(Debts!$D$20,G65+E66))+(I66-MIN(Debts!$D$21,J65+H66))+(L66-MIN(Debts!$D$22,M65+K66)))))</f>
        <v>0</v>
      </c>
      <c r="P66" s="16">
        <f>ROUND(P65+N66-O66,2)</f>
        <v>0</v>
      </c>
      <c r="Q66" s="16">
        <f>ROUND(S65*Debts!$C$24/100/12,2)</f>
        <v>0</v>
      </c>
      <c r="R66" s="16">
        <f>MIN(S65+Q66,Debts!$D$24+MAX(0,$D66-((F66-MIN(Debts!$D$20,G65+E66))+(I66-MIN(Debts!$D$21,J65+H66))+(L66-MIN(Debts!$D$22,M65+K66))+(O66-MIN(Debts!$D$23,P65+N66)))))</f>
        <v>0</v>
      </c>
      <c r="S66" s="16">
        <f>ROUND(S65+Q66-R66,2)</f>
        <v>0</v>
      </c>
      <c r="T66" s="28">
        <f>G66+J66+M66+P66+S66</f>
        <v>0</v>
      </c>
      <c r="U66" s="16">
        <f>E66+H66+K66+N66+Q66</f>
        <v>0</v>
      </c>
      <c r="V66" s="16">
        <f>F66+I66+L66+O66+R66</f>
        <v>0</v>
      </c>
    </row>
  </sheetData>
  <pageMargins left="0.4" right="0.4" top="0.5" bottom="0.5" header="0.5" footer="0.5"/>
  <pageSetup orientation="landscape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8A6A2A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29" t="inlineStr">
        <is>
          <t>How to use</t>
        </is>
      </c>
    </row>
    <row r="5" ht="26" customHeight="1">
      <c r="B5" s="30" t="inlineStr">
        <is>
          <t>How to use this file</t>
        </is>
      </c>
    </row>
    <row r="6" ht="32" customHeight="1">
      <c r="B6" s="31" t="inlineStr">
        <is>
          <t>Enter up to five debts on the Debts sheet: balance, yearly interest rate (APR) in percent and the minimum monthly payment.</t>
        </is>
      </c>
    </row>
    <row r="7" ht="18" customHeight="1">
      <c r="B7" s="31" t="inlineStr">
        <is>
          <t>Type how much extra you can pay every month and the first month of your plan.</t>
        </is>
      </c>
    </row>
    <row r="8" ht="18" customHeight="1">
      <c r="B8" s="31" t="inlineStr">
        <is>
          <t>The sheet orders your debts from the smallest to the largest balance. That is the snowball order.</t>
        </is>
      </c>
    </row>
    <row r="9" ht="18" customHeight="1">
      <c r="B9" s="31" t="inlineStr">
        <is>
          <t>The Schedule sheet shows every month for up to five years: interest, payment and what is left of each debt.</t>
        </is>
      </c>
    </row>
    <row r="10" ht="32" customHeight="1">
      <c r="B10" s="31" t="inlineStr">
        <is>
          <t>Months to be debt free, total interest and total paid appear under Your plan. Interest is estimated from the APR you enter.</t>
        </is>
      </c>
    </row>
    <row r="11">
      <c r="B11" t="inlineStr"/>
    </row>
    <row r="12" ht="18" customHeight="1">
      <c r="B12" s="32" t="inlineStr">
        <is>
          <t>A planning template. It does not connect to any bank or app and is not financial, legal or tax advice.</t>
        </is>
      </c>
    </row>
    <row r="13" ht="18" customHeight="1">
      <c r="B13" s="32" t="inlineStr">
        <is>
          <t>Free from maxbeautifuldesigns.com/library. Standard .xlsx with formulas, no macros.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MaxBeautifulDesigns</dc:creator>
  <dc:title xmlns:dc="http://purl.org/dc/elements/1.1/">Debt Snowball Planner</dc:title>
  <dcterms:created xmlns:dcterms="http://purl.org/dc/terms/" xmlns:xsi="http://www.w3.org/2001/XMLSchema-instance" xsi:type="dcterms:W3CDTF">2026-10-24T21:11:43Z</dcterms:created>
  <dcterms:modified xmlns:dcterms="http://purl.org/dc/terms/" xmlns:xsi="http://www.w3.org/2001/XMLSchema-instance" xsi:type="dcterms:W3CDTF">2026-10-24T21:11:44Z</dcterms:modified>
</cp:coreProperties>
</file>